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Bestand" sheetId="2" state="visible" r:id="rId2"/>
    <sheet xmlns:r="http://schemas.openxmlformats.org/officeDocument/2006/relationships" name="Häutungen" sheetId="3" state="visible" r:id="rId3"/>
    <sheet xmlns:r="http://schemas.openxmlformats.org/officeDocument/2006/relationships" name="Fütterung" sheetId="4" state="visible" r:id="rId4"/>
    <sheet xmlns:r="http://schemas.openxmlformats.org/officeDocument/2006/relationships" name="Spinnen-Akte" sheetId="5" state="visible" r:id="rId5"/>
    <sheet xmlns:r="http://schemas.openxmlformats.org/officeDocument/2006/relationships" name="Listen" sheetId="6" state="visible" r:id="rId6"/>
  </sheets>
  <definedNames>
    <definedName name="lstGattung">Listen!$A$6:$A$85</definedName>
    <definedName name="lstGeschlecht">Listen!$E$6:$E$8</definedName>
    <definedName name="lstStand">Listen!$F$6:$F$9</definedName>
    <definedName name="lstLebensweise">Listen!$G$6:$G$8</definedName>
    <definedName name="lstBestimmt">Listen!$I$6:$I$9</definedName>
    <definedName name="lstHerkunft">Listen!$J$6:$J$8</definedName>
    <definedName name="lstJaNein">Listen!$K$6:$K$7</definedName>
    <definedName name="lstJaNeinUnklar">Listen!$L$6:$L$8</definedName>
    <definedName name="lstQuelle">Listen!$N$6:$N$35</definedName>
    <definedName name="lstFutter">Listen!$O$6:$O$35</definedName>
    <definedName name="lstAngenommen">Listen!$P$6:$P$8</definedName>
    <definedName name="lstExuvie">Listen!$Q$6:$Q$8</definedName>
    <definedName name="TpM">Listen!$W$6</definedName>
    <definedName name="FaktorUeber">Listen!$W$7</definedName>
    <definedName name="FaktorBald">Listen!$W$8</definedName>
    <definedName name="FutterGrenze">Listen!$W$9</definedName>
    <definedName name="BeispielTiere">Bestand!$A$14:$Q$19</definedName>
    <definedName name="BeispielHäutungen">'Häutungen'!$A$7:$A$26,'Häutungen'!$C$7:$G$26</definedName>
    <definedName name="BeispielFütterungen">'Fütterung'!$A$7:$A$15,'Fütterung'!$C$7:$F$15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0.0"/>
    <numFmt numFmtId="165" formatCode="DD.MM.YYYY"/>
    <numFmt numFmtId="166" formatCode="#,##0.00 &quot;€&quot;"/>
    <numFmt numFmtId="167" formatCode="&quot;in &quot;0&quot; Tagen&quot;;&quot;seit &quot;0&quot; Tagen fällig&quot;;&quot;heute&quot;"/>
    <numFmt numFmtId="168" formatCode="0.0&quot; Mon.&quot;"/>
    <numFmt numFmtId="169" formatCode="&quot;in &quot;0&quot; T.&quot;;0&quot; T. drüber&quot;;&quot;heute&quot;"/>
    <numFmt numFmtId="170" formatCode="0.0&quot; cm&quot;"/>
    <numFmt numFmtId="171" formatCode=";;;"/>
    <numFmt numFmtId="172" formatCode="0.0&quot; Monate&quot;"/>
  </numFmts>
  <fonts count="47">
    <font>
      <name val="Calibri"/>
      <family val="2"/>
      <color theme="1"/>
      <sz val="11"/>
      <scheme val="minor"/>
    </font>
    <font>
      <name val="Aptos"/>
      <color rgb="002B2420"/>
      <sz val="10"/>
    </font>
    <font>
      <name val="Aptos"/>
      <b val="1"/>
      <color rgb="00F4F1EA"/>
      <sz val="17"/>
    </font>
    <font>
      <name val="Aptos"/>
      <color rgb="00C9BFB2"/>
      <sz val="9.5"/>
    </font>
    <font>
      <name val="Aptos"/>
      <b val="1"/>
      <color rgb="00C9D7B8"/>
      <sz val="11"/>
    </font>
    <font>
      <name val="Aptos"/>
      <color rgb="00C9BFB2"/>
      <sz val="9"/>
    </font>
    <font>
      <name val="Aptos"/>
      <b val="1"/>
      <color rgb="00FFFFFF"/>
      <sz val="9"/>
    </font>
    <font>
      <name val="Aptos"/>
      <b val="1"/>
      <color rgb="002B2420"/>
      <sz val="10"/>
    </font>
    <font>
      <name val="Aptos"/>
      <i val="1"/>
      <color rgb="008A7F74"/>
      <sz val="9"/>
    </font>
    <font>
      <name val="Aptos"/>
      <color rgb="005E544B"/>
      <sz val="10"/>
    </font>
    <font>
      <name val="Aptos"/>
      <b val="1"/>
      <color rgb="002B2420"/>
      <sz val="8.5"/>
    </font>
    <font>
      <name val="Aptos"/>
      <b val="1"/>
      <color rgb="004F6B3A"/>
      <sz val="8.5"/>
    </font>
    <font>
      <name val="Aptos"/>
      <b val="1"/>
      <color rgb="00C9BFB2"/>
      <sz val="11"/>
    </font>
    <font>
      <name val="Aptos"/>
      <b val="1"/>
      <color rgb="00F4F1EA"/>
      <sz val="48"/>
    </font>
    <font>
      <name val="Aptos"/>
      <color rgb="00C9BFB2"/>
      <sz val="10"/>
    </font>
    <font>
      <name val="Aptos"/>
      <b val="1"/>
      <color rgb="002B2420"/>
      <sz val="11"/>
    </font>
    <font>
      <name val="Aptos"/>
      <b val="1"/>
      <color rgb="002B2420"/>
      <sz val="13"/>
    </font>
    <font>
      <name val="Aptos"/>
      <b val="1"/>
      <color rgb="002B2420"/>
      <sz val="15"/>
    </font>
    <font>
      <name val="Aptos"/>
      <b val="1"/>
      <color rgb="00FFFFFF"/>
      <sz val="16"/>
    </font>
    <font>
      <name val="Aptos"/>
      <b val="1"/>
      <color rgb="00FFFFFF"/>
      <sz val="12"/>
    </font>
    <font>
      <name val="Aptos"/>
      <b val="1"/>
      <color rgb="002B2420"/>
      <sz val="12"/>
    </font>
    <font>
      <name val="Aptos"/>
      <color rgb="008A7F74"/>
      <sz val="10"/>
    </font>
    <font>
      <name val="Aptos"/>
      <b val="1"/>
      <color rgb="008A7F74"/>
      <sz val="9"/>
    </font>
    <font>
      <name val="Aptos"/>
      <b val="1"/>
      <color rgb="00FFFFFF"/>
      <sz val="13"/>
    </font>
    <font>
      <name val="Aptos"/>
      <b val="1"/>
      <color rgb="008A7F74"/>
      <sz val="54"/>
    </font>
    <font>
      <name val="Aptos"/>
      <b val="1"/>
      <color rgb="008A7F74"/>
      <sz val="9.5"/>
    </font>
    <font>
      <name val="Aptos"/>
      <b val="1"/>
      <color rgb="002B2420"/>
      <sz val="28"/>
    </font>
    <font>
      <name val="Aptos"/>
      <i val="1"/>
      <color rgb="008A7F74"/>
      <sz val="13"/>
    </font>
    <font>
      <name val="Aptos"/>
      <b val="1"/>
      <color rgb="008A7F74"/>
      <sz val="16"/>
    </font>
    <font>
      <name val="Aptos"/>
      <color rgb="008A7F74"/>
      <sz val="9"/>
    </font>
    <font>
      <name val="Aptos"/>
      <b val="1"/>
      <color rgb="002B2420"/>
      <sz val="22"/>
    </font>
    <font>
      <name val="Aptos"/>
      <b val="1"/>
      <color rgb="008A7F74"/>
      <sz val="10"/>
    </font>
    <font>
      <name val="Aptos"/>
      <color rgb="00FFFFFF"/>
      <sz val="1"/>
    </font>
    <font>
      <name val="Aptos"/>
      <color rgb="008A7F74"/>
      <sz val="8.5"/>
    </font>
    <font>
      <name val="Aptos"/>
      <b val="1"/>
      <color rgb="008A7F74"/>
      <sz val="8.5"/>
    </font>
    <font>
      <name val="Aptos"/>
      <color rgb="002B2420"/>
      <sz val="10.5"/>
    </font>
    <font>
      <name val="Aptos"/>
      <b val="1"/>
      <color rgb="00F4F1EA"/>
      <sz val="8.5"/>
    </font>
    <font>
      <name val="Aptos"/>
      <i val="1"/>
      <color rgb="008A7F74"/>
      <sz val="8.5"/>
    </font>
    <font>
      <name val="Aptos"/>
      <b val="1"/>
      <color rgb="002B2420"/>
      <sz val="14"/>
    </font>
    <font>
      <name val="Aptos"/>
      <b val="1"/>
      <color rgb="004F6B3A"/>
      <sz val="14"/>
    </font>
    <font>
      <name val="Aptos"/>
      <b val="1"/>
      <color rgb="00FFFFFF"/>
      <sz val="11"/>
    </font>
    <font>
      <name val="Aptos"/>
      <b val="1"/>
      <color rgb="004F6B3A"/>
      <sz val="10"/>
    </font>
    <font>
      <name val="Aptos"/>
      <b val="1"/>
      <color rgb="00B8862B"/>
      <sz val="10"/>
    </font>
    <font>
      <name val="Aptos"/>
      <b val="1"/>
      <color rgb="00B5532B"/>
      <sz val="10"/>
    </font>
    <font>
      <name val="Aptos"/>
      <b val="1"/>
      <color rgb="0048627A"/>
      <sz val="10"/>
    </font>
    <font>
      <name val="Aptos"/>
      <b val="1"/>
      <color rgb="004F6B3A"/>
      <sz val="11"/>
    </font>
    <font>
      <name val="Aptos"/>
      <color rgb="004F6B3A"/>
      <sz val="10"/>
      <u val="single"/>
    </font>
  </fonts>
  <fills count="17">
    <fill>
      <patternFill/>
    </fill>
    <fill>
      <patternFill patternType="gray125"/>
    </fill>
    <fill>
      <patternFill patternType="solid">
        <fgColor rgb="00F4F1EA"/>
        <bgColor rgb="00F4F1EA"/>
      </patternFill>
    </fill>
    <fill>
      <patternFill patternType="solid">
        <fgColor rgb="002B2420"/>
        <bgColor rgb="002B2420"/>
      </patternFill>
    </fill>
    <fill>
      <patternFill patternType="solid">
        <fgColor rgb="00FFFFFF"/>
        <bgColor rgb="00FFFFFF"/>
      </patternFill>
    </fill>
    <fill>
      <patternFill patternType="solid">
        <fgColor rgb="00B5532B"/>
        <bgColor rgb="00B5532B"/>
      </patternFill>
    </fill>
    <fill>
      <patternFill patternType="solid">
        <fgColor rgb="00F3EFE7"/>
        <bgColor rgb="00F3EFE7"/>
      </patternFill>
    </fill>
    <fill>
      <patternFill patternType="solid">
        <fgColor rgb="004F6B3A"/>
        <bgColor rgb="004F6B3A"/>
      </patternFill>
    </fill>
    <fill>
      <patternFill patternType="solid">
        <fgColor rgb="008A7F74"/>
        <bgColor rgb="008A7F74"/>
      </patternFill>
    </fill>
    <fill>
      <patternFill patternType="solid">
        <fgColor rgb="00B8862B"/>
        <bgColor rgb="00B8862B"/>
      </patternFill>
    </fill>
    <fill>
      <patternFill patternType="solid">
        <fgColor rgb="0048627A"/>
        <bgColor rgb="0048627A"/>
      </patternFill>
    </fill>
    <fill>
      <patternFill patternType="solid">
        <fgColor rgb="00F1EDE5"/>
        <bgColor rgb="00F1EDE5"/>
      </patternFill>
    </fill>
    <fill>
      <patternFill patternType="solid">
        <fgColor rgb="00E4EADB"/>
        <bgColor rgb="00E4EADB"/>
      </patternFill>
    </fill>
    <fill>
      <patternFill patternType="solid">
        <fgColor rgb="00F7EBD0"/>
        <bgColor rgb="00F7EBD0"/>
      </patternFill>
    </fill>
    <fill>
      <patternFill patternType="solid">
        <fgColor rgb="00F6E1D5"/>
        <bgColor rgb="00F6E1D5"/>
      </patternFill>
    </fill>
    <fill>
      <patternFill patternType="solid">
        <fgColor rgb="00DFE6EC"/>
        <bgColor rgb="00DFE6EC"/>
      </patternFill>
    </fill>
    <fill>
      <patternFill patternType="solid">
        <fgColor rgb="00ECE8E1"/>
        <bgColor rgb="00ECE8E1"/>
      </patternFill>
    </fill>
  </fills>
  <borders count="22">
    <border>
      <left/>
      <right/>
      <top/>
      <bottom/>
      <diagonal/>
    </border>
    <border>
      <bottom style="thin">
        <color rgb="00E4DED2"/>
      </bottom>
    </border>
    <border>
      <left style="thick">
        <color rgb="00F4F1EA"/>
      </left>
      <bottom style="thin">
        <color rgb="00E4DED2"/>
      </bottom>
    </border>
    <border>
      <right style="thick">
        <color rgb="00F4F1EA"/>
      </right>
      <bottom style="thin">
        <color rgb="00E4DED2"/>
      </bottom>
    </border>
    <border>
      <left style="thick">
        <color rgb="00F4F1EA"/>
      </left>
    </border>
    <border>
      <right style="thick">
        <color rgb="00F4F1EA"/>
      </right>
    </border>
    <border/>
    <border>
      <left style="thick">
        <color rgb="00F4F1EA"/>
      </left>
      <right style="thick">
        <color rgb="00F4F1EA"/>
      </right>
      <bottom style="thin">
        <color rgb="00E4DED2"/>
      </bottom>
    </border>
    <border>
      <left/>
      <right style="thick">
        <color rgb="00F4F1EA"/>
      </right>
      <top/>
      <bottom/>
      <diagonal/>
    </border>
    <border>
      <left/>
      <right style="thick">
        <color rgb="00F4F1EA"/>
      </right>
      <top/>
      <bottom style="thin">
        <color rgb="00E4DED2"/>
      </bottom>
      <diagonal/>
    </border>
    <border>
      <left style="thick">
        <color rgb="00F4F1EA"/>
      </left>
      <right style="thick">
        <color rgb="00F4F1EA"/>
      </right>
    </border>
    <border>
      <left style="thick">
        <color rgb="00F4F1EA"/>
      </left>
      <right/>
      <top/>
      <bottom/>
      <diagonal/>
    </border>
    <border>
      <left/>
      <right/>
      <top/>
      <bottom style="thin">
        <color rgb="00E4DED2"/>
      </bottom>
      <diagonal/>
    </border>
    <border>
      <left style="thick">
        <color rgb="00F4F1EA"/>
      </left>
      <bottom style="thin">
        <color rgb="00FFFFFF"/>
      </bottom>
    </border>
    <border>
      <bottom style="thin">
        <color rgb="00FFFFFF"/>
      </bottom>
    </border>
    <border>
      <right style="thick">
        <color rgb="00F4F1EA"/>
      </right>
      <bottom style="thin">
        <color rgb="00FFFFFF"/>
      </bottom>
    </border>
    <border>
      <left/>
      <right/>
      <top/>
      <bottom style="thin">
        <color rgb="00FFFFFF"/>
      </bottom>
      <diagonal/>
    </border>
    <border>
      <left/>
      <right style="thick">
        <color rgb="00F4F1EA"/>
      </right>
      <top/>
      <bottom style="thin">
        <color rgb="00FFFFFF"/>
      </bottom>
      <diagonal/>
    </border>
    <border/>
    <border>
      <left style="thick">
        <color rgb="00F4F1EA"/>
      </left>
      <top style="thick">
        <color rgb="004F6B3A"/>
      </top>
    </border>
    <border>
      <right style="thick">
        <color rgb="00F4F1EA"/>
      </right>
      <top style="thick">
        <color rgb="004F6B3A"/>
      </top>
    </border>
    <border>
      <bottom style="thick">
        <color rgb="00F4F1EA"/>
      </bottom>
    </border>
  </borders>
  <cellStyleXfs count="1">
    <xf numFmtId="0" fontId="0" fillId="0" borderId="0"/>
  </cellStyleXfs>
  <cellXfs count="127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bottom" indent="1"/>
    </xf>
    <xf numFmtId="0" fontId="1" fillId="3" borderId="0" pivotButton="0" quotePrefix="0" xfId="0"/>
    <xf numFmtId="0" fontId="3" fillId="3" borderId="0" applyAlignment="1" pivotButton="0" quotePrefix="0" xfId="0">
      <alignment vertical="top" indent="1"/>
    </xf>
    <xf numFmtId="0" fontId="38" fillId="2" borderId="0" applyAlignment="1" pivotButton="0" quotePrefix="0" xfId="0">
      <alignment vertical="bottom"/>
    </xf>
    <xf numFmtId="0" fontId="39" fillId="4" borderId="21" applyAlignment="1" pivotButton="0" quotePrefix="0" xfId="0">
      <alignment horizontal="center" vertical="center"/>
    </xf>
    <xf numFmtId="0" fontId="15" fillId="4" borderId="21" applyAlignment="1" pivotButton="0" quotePrefix="0" xfId="0">
      <alignment vertical="center"/>
    </xf>
    <xf numFmtId="0" fontId="9" fillId="4" borderId="21" applyAlignment="1" pivotButton="0" quotePrefix="0" xfId="0">
      <alignment vertical="center" wrapText="1"/>
    </xf>
    <xf numFmtId="0" fontId="9" fillId="2" borderId="0" applyAlignment="1" pivotButton="0" quotePrefix="0" xfId="0">
      <alignment vertical="center" wrapText="1"/>
    </xf>
    <xf numFmtId="0" fontId="40" fillId="7" borderId="21" applyAlignment="1" pivotButton="0" quotePrefix="0" xfId="0">
      <alignment horizontal="center" vertical="center"/>
    </xf>
    <xf numFmtId="0" fontId="0" fillId="7" borderId="21" pivotButton="0" quotePrefix="0" xfId="0"/>
    <xf numFmtId="0" fontId="9" fillId="4" borderId="21" applyAlignment="1" pivotButton="0" quotePrefix="0" xfId="0">
      <alignment vertical="center" indent="1"/>
    </xf>
    <xf numFmtId="0" fontId="8" fillId="2" borderId="0" applyAlignment="1" pivotButton="0" quotePrefix="0" xfId="0">
      <alignment vertical="center"/>
    </xf>
    <xf numFmtId="0" fontId="41" fillId="12" borderId="21" applyAlignment="1" pivotButton="0" quotePrefix="0" xfId="0">
      <alignment vertical="center" indent="1"/>
    </xf>
    <xf numFmtId="0" fontId="0" fillId="12" borderId="21" pivotButton="0" quotePrefix="0" xfId="0"/>
    <xf numFmtId="0" fontId="42" fillId="13" borderId="21" applyAlignment="1" pivotButton="0" quotePrefix="0" xfId="0">
      <alignment vertical="center" indent="1"/>
    </xf>
    <xf numFmtId="0" fontId="0" fillId="13" borderId="21" pivotButton="0" quotePrefix="0" xfId="0"/>
    <xf numFmtId="0" fontId="43" fillId="14" borderId="21" applyAlignment="1" pivotButton="0" quotePrefix="0" xfId="0">
      <alignment vertical="center" indent="1"/>
    </xf>
    <xf numFmtId="0" fontId="0" fillId="14" borderId="21" pivotButton="0" quotePrefix="0" xfId="0"/>
    <xf numFmtId="0" fontId="44" fillId="15" borderId="21" applyAlignment="1" pivotButton="0" quotePrefix="0" xfId="0">
      <alignment vertical="center" indent="1"/>
    </xf>
    <xf numFmtId="0" fontId="0" fillId="15" borderId="21" pivotButton="0" quotePrefix="0" xfId="0"/>
    <xf numFmtId="0" fontId="31" fillId="16" borderId="21" applyAlignment="1" pivotButton="0" quotePrefix="0" xfId="0">
      <alignment vertical="center" indent="1"/>
    </xf>
    <xf numFmtId="0" fontId="0" fillId="16" borderId="21" pivotButton="0" quotePrefix="0" xfId="0"/>
    <xf numFmtId="0" fontId="9" fillId="2" borderId="0" applyAlignment="1" pivotButton="0" quotePrefix="0" xfId="0">
      <alignment vertical="center" indent="1"/>
    </xf>
    <xf numFmtId="0" fontId="45" fillId="12" borderId="0" applyAlignment="1" pivotButton="0" quotePrefix="0" xfId="0">
      <alignment vertical="bottom" indent="1"/>
    </xf>
    <xf numFmtId="0" fontId="1" fillId="12" borderId="0" pivotButton="0" quotePrefix="0" xfId="0"/>
    <xf numFmtId="0" fontId="46" fillId="12" borderId="0" applyAlignment="1" pivotButton="0" quotePrefix="0" xfId="0">
      <alignment vertical="top" indent="1"/>
    </xf>
    <xf numFmtId="0" fontId="4" fillId="3" borderId="0" applyAlignment="1" pivotButton="0" quotePrefix="0" xfId="0">
      <alignment horizontal="right" vertical="bottom" indent="1"/>
    </xf>
    <xf numFmtId="0" fontId="5" fillId="3" borderId="0" applyAlignment="1" pivotButton="0" quotePrefix="0" xfId="0">
      <alignment horizontal="right" vertical="top" indent="1"/>
    </xf>
    <xf numFmtId="0" fontId="12" fillId="3" borderId="7" applyAlignment="1" pivotButton="0" quotePrefix="0" xfId="0">
      <alignment horizontal="center" vertical="center"/>
    </xf>
    <xf numFmtId="0" fontId="0" fillId="0" borderId="9" pivotButton="0" quotePrefix="0" xfId="0"/>
    <xf numFmtId="0" fontId="15" fillId="4" borderId="7" applyAlignment="1" pivotButton="0" quotePrefix="0" xfId="0">
      <alignment vertical="center" indent="1"/>
    </xf>
    <xf numFmtId="0" fontId="0" fillId="0" borderId="12" pivotButton="0" quotePrefix="0" xfId="0"/>
    <xf numFmtId="0" fontId="13" fillId="3" borderId="10" applyAlignment="1" pivotButton="0" quotePrefix="0" xfId="0">
      <alignment horizontal="center" vertical="center"/>
    </xf>
    <xf numFmtId="0" fontId="0" fillId="0" borderId="8" pivotButton="0" quotePrefix="0" xfId="0"/>
    <xf numFmtId="0" fontId="16" fillId="4" borderId="4" applyAlignment="1" pivotButton="0" quotePrefix="0" xfId="0">
      <alignment horizontal="left" vertical="center" indent="1"/>
    </xf>
    <xf numFmtId="0" fontId="17" fillId="4" borderId="5" applyAlignment="1" pivotButton="0" quotePrefix="0" xfId="0">
      <alignment horizontal="left" vertical="center" indent="1"/>
    </xf>
    <xf numFmtId="0" fontId="18" fillId="9" borderId="13" applyAlignment="1" pivotButton="0" quotePrefix="0" xfId="0">
      <alignment horizontal="center" vertical="center"/>
    </xf>
    <xf numFmtId="0" fontId="19" fillId="9" borderId="15" applyAlignment="1" pivotButton="0" quotePrefix="0" xfId="0">
      <alignment horizontal="left" vertical="center" indent="1"/>
    </xf>
    <xf numFmtId="0" fontId="0" fillId="0" borderId="16" pivotButton="0" quotePrefix="0" xfId="0"/>
    <xf numFmtId="0" fontId="0" fillId="0" borderId="17" pivotButton="0" quotePrefix="0" xfId="0"/>
    <xf numFmtId="0" fontId="20" fillId="4" borderId="4" applyAlignment="1" pivotButton="0" quotePrefix="0" xfId="0">
      <alignment horizontal="left" vertical="center" indent="1"/>
    </xf>
    <xf numFmtId="167" fontId="20" fillId="4" borderId="6" applyAlignment="1" pivotButton="0" quotePrefix="0" xfId="0">
      <alignment horizontal="left" vertical="center" indent="1"/>
    </xf>
    <xf numFmtId="0" fontId="21" fillId="4" borderId="5" applyAlignment="1" pivotButton="0" quotePrefix="0" xfId="0">
      <alignment horizontal="left" vertical="center" indent="1"/>
    </xf>
    <xf numFmtId="0" fontId="0" fillId="0" borderId="11" pivotButton="0" quotePrefix="0" xfId="0"/>
    <xf numFmtId="0" fontId="18" fillId="5" borderId="13" applyAlignment="1" pivotButton="0" quotePrefix="0" xfId="0">
      <alignment horizontal="center" vertical="center"/>
    </xf>
    <xf numFmtId="0" fontId="19" fillId="5" borderId="15" applyAlignment="1" pivotButton="0" quotePrefix="0" xfId="0">
      <alignment horizontal="left" vertical="center" indent="1"/>
    </xf>
    <xf numFmtId="0" fontId="14" fillId="3" borderId="10" applyAlignment="1" pivotButton="0" quotePrefix="0" xfId="0">
      <alignment horizontal="center" vertical="center"/>
    </xf>
    <xf numFmtId="0" fontId="1" fillId="4" borderId="4" pivotButton="0" quotePrefix="0" xfId="0"/>
    <xf numFmtId="0" fontId="1" fillId="4" borderId="6" pivotButton="0" quotePrefix="0" xfId="0"/>
    <xf numFmtId="0" fontId="1" fillId="4" borderId="5" pivotButton="0" quotePrefix="0" xfId="0"/>
    <xf numFmtId="0" fontId="18" fillId="10" borderId="13" applyAlignment="1" pivotButton="0" quotePrefix="0" xfId="0">
      <alignment horizontal="center" vertical="center"/>
    </xf>
    <xf numFmtId="0" fontId="19" fillId="10" borderId="15" applyAlignment="1" pivotButton="0" quotePrefix="0" xfId="0">
      <alignment horizontal="left" vertical="center" indent="1"/>
    </xf>
    <xf numFmtId="0" fontId="21" fillId="4" borderId="10" applyAlignment="1" pivotButton="0" quotePrefix="0" xfId="0">
      <alignment horizontal="left" vertical="center" indent="1"/>
    </xf>
    <xf numFmtId="0" fontId="10" fillId="2" borderId="0" pivotButton="0" quotePrefix="0" xfId="0"/>
    <xf numFmtId="0" fontId="11" fillId="2" borderId="0" pivotButton="0" quotePrefix="0" xfId="0"/>
    <xf numFmtId="0" fontId="6" fillId="3" borderId="0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6" fillId="8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 indent="1"/>
    </xf>
    <xf numFmtId="164" fontId="1" fillId="4" borderId="1" applyAlignment="1" pivotButton="0" quotePrefix="0" xfId="0">
      <alignment horizontal="center" vertical="center"/>
    </xf>
    <xf numFmtId="165" fontId="1" fillId="4" borderId="1" applyAlignment="1" pivotButton="0" quotePrefix="0" xfId="0">
      <alignment horizontal="center" vertical="center"/>
    </xf>
    <xf numFmtId="166" fontId="1" fillId="4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 indent="1"/>
    </xf>
    <xf numFmtId="165" fontId="9" fillId="6" borderId="1" applyAlignment="1" pivotButton="0" quotePrefix="0" xfId="0">
      <alignment horizontal="center" vertical="center"/>
    </xf>
    <xf numFmtId="1" fontId="9" fillId="6" borderId="1" applyAlignment="1" pivotButton="0" quotePrefix="0" xfId="0">
      <alignment horizontal="center" vertical="center"/>
    </xf>
    <xf numFmtId="164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10" fillId="0" borderId="0" pivotButton="0" quotePrefix="0" xfId="0"/>
    <xf numFmtId="0" fontId="11" fillId="0" borderId="0" pivotButton="0" quotePrefix="0" xfId="0"/>
    <xf numFmtId="0" fontId="22" fillId="2" borderId="0" applyAlignment="1" pivotButton="0" quotePrefix="0" xfId="0">
      <alignment horizontal="left" vertical="center" indent="1"/>
    </xf>
    <xf numFmtId="0" fontId="23" fillId="7" borderId="0" applyAlignment="1" applyProtection="1" pivotButton="0" quotePrefix="0" xfId="0">
      <alignment horizontal="center" vertical="center"/>
      <protection locked="0" hidden="0"/>
    </xf>
    <xf numFmtId="0" fontId="8" fillId="2" borderId="0" applyAlignment="1" pivotButton="0" quotePrefix="0" xfId="0">
      <alignment horizontal="left" vertical="center" indent="1"/>
    </xf>
    <xf numFmtId="0" fontId="24" fillId="4" borderId="0" applyAlignment="1" pivotButton="0" quotePrefix="0" xfId="0">
      <alignment horizontal="center" vertical="center"/>
    </xf>
    <xf numFmtId="0" fontId="25" fillId="4" borderId="0" applyAlignment="1" pivotButton="0" quotePrefix="0" xfId="0">
      <alignment horizontal="left" vertical="bottom" indent="2"/>
    </xf>
    <xf numFmtId="0" fontId="22" fillId="4" borderId="0" applyAlignment="1" pivotButton="0" quotePrefix="0" xfId="0">
      <alignment horizontal="center" vertical="bottom"/>
    </xf>
    <xf numFmtId="0" fontId="26" fillId="4" borderId="0" applyAlignment="1" pivotButton="0" quotePrefix="0" xfId="0">
      <alignment horizontal="left" vertical="center" indent="2"/>
    </xf>
    <xf numFmtId="0" fontId="28" fillId="4" borderId="18" applyAlignment="1" pivotButton="0" quotePrefix="0" xfId="0">
      <alignment horizontal="center" vertical="center"/>
    </xf>
    <xf numFmtId="0" fontId="27" fillId="4" borderId="0" applyAlignment="1" pivotButton="0" quotePrefix="0" xfId="0">
      <alignment horizontal="left" vertical="top" indent="2"/>
    </xf>
    <xf numFmtId="0" fontId="29" fillId="4" borderId="0" applyAlignment="1" pivotButton="0" quotePrefix="0" xfId="0">
      <alignment horizontal="center" vertical="top"/>
    </xf>
    <xf numFmtId="0" fontId="22" fillId="4" borderId="19" applyAlignment="1" pivotButton="0" quotePrefix="0" xfId="0">
      <alignment horizontal="left" vertical="bottom" indent="1"/>
    </xf>
    <xf numFmtId="0" fontId="0" fillId="4" borderId="20" pivotButton="0" quotePrefix="0" xfId="0"/>
    <xf numFmtId="1" fontId="30" fillId="4" borderId="4" applyAlignment="1" pivotButton="0" quotePrefix="0" xfId="0">
      <alignment horizontal="left" vertical="center" indent="1"/>
    </xf>
    <xf numFmtId="0" fontId="0" fillId="4" borderId="5" pivotButton="0" quotePrefix="0" xfId="0"/>
    <xf numFmtId="168" fontId="30" fillId="4" borderId="4" applyAlignment="1" pivotButton="0" quotePrefix="0" xfId="0">
      <alignment horizontal="left" vertical="center" indent="1"/>
    </xf>
    <xf numFmtId="169" fontId="30" fillId="4" borderId="4" applyAlignment="1" pivotButton="0" quotePrefix="0" xfId="0">
      <alignment horizontal="left" vertical="center" indent="1"/>
    </xf>
    <xf numFmtId="170" fontId="30" fillId="4" borderId="4" applyAlignment="1" pivotButton="0" quotePrefix="0" xfId="0">
      <alignment horizontal="left" vertical="center" indent="1"/>
    </xf>
    <xf numFmtId="0" fontId="30" fillId="4" borderId="4" applyAlignment="1" pivotButton="0" quotePrefix="0" xfId="0">
      <alignment horizontal="left" vertical="center" indent="1"/>
    </xf>
    <xf numFmtId="0" fontId="29" fillId="4" borderId="4" applyAlignment="1" pivotButton="0" quotePrefix="0" xfId="0">
      <alignment horizontal="left" vertical="top" indent="1"/>
    </xf>
    <xf numFmtId="0" fontId="20" fillId="4" borderId="0" applyAlignment="1" pivotButton="0" quotePrefix="0" xfId="0">
      <alignment horizontal="left" vertical="bottom" indent="1"/>
    </xf>
    <xf numFmtId="0" fontId="31" fillId="4" borderId="0" applyAlignment="1" pivotButton="0" quotePrefix="0" xfId="0">
      <alignment horizontal="right" vertical="bottom"/>
    </xf>
    <xf numFmtId="171" fontId="32" fillId="11" borderId="0" applyAlignment="1" pivotButton="0" quotePrefix="0" xfId="0">
      <alignment horizontal="left" vertical="center" indent="1"/>
    </xf>
    <xf numFmtId="0" fontId="0" fillId="11" borderId="0" pivotButton="0" quotePrefix="0" xfId="0"/>
    <xf numFmtId="0" fontId="33" fillId="4" borderId="0" applyAlignment="1" pivotButton="0" quotePrefix="0" xfId="0">
      <alignment horizontal="left" vertical="top" indent="1"/>
    </xf>
    <xf numFmtId="0" fontId="1" fillId="4" borderId="0" pivotButton="0" quotePrefix="0" xfId="0"/>
    <xf numFmtId="0" fontId="34" fillId="4" borderId="0" applyAlignment="1" pivotButton="0" quotePrefix="0" xfId="0">
      <alignment horizontal="center" vertical="top"/>
    </xf>
    <xf numFmtId="0" fontId="33" fillId="4" borderId="0" applyAlignment="1" pivotButton="0" quotePrefix="0" xfId="0">
      <alignment horizontal="right" vertical="top"/>
    </xf>
    <xf numFmtId="0" fontId="20" fillId="2" borderId="0" applyAlignment="1" pivotButton="0" quotePrefix="0" xfId="0">
      <alignment horizontal="left" vertical="bottom"/>
    </xf>
    <xf numFmtId="0" fontId="34" fillId="4" borderId="1" applyAlignment="1" pivotButton="0" quotePrefix="0" xfId="0">
      <alignment horizontal="left" vertical="center" indent="1"/>
    </xf>
    <xf numFmtId="0" fontId="15" fillId="4" borderId="1" applyAlignment="1" pivotButton="0" quotePrefix="0" xfId="0">
      <alignment horizontal="left" vertical="center" indent="1"/>
    </xf>
    <xf numFmtId="0" fontId="34" fillId="4" borderId="2" applyAlignment="1" pivotButton="0" quotePrefix="0" xfId="0">
      <alignment horizontal="left" vertical="center" indent="1"/>
    </xf>
    <xf numFmtId="165" fontId="15" fillId="4" borderId="1" applyAlignment="1" pivotButton="0" quotePrefix="0" xfId="0">
      <alignment horizontal="left" vertical="center" indent="1"/>
    </xf>
    <xf numFmtId="166" fontId="15" fillId="4" borderId="1" applyAlignment="1" pivotButton="0" quotePrefix="0" xfId="0">
      <alignment horizontal="left" vertical="center" indent="1"/>
    </xf>
    <xf numFmtId="1" fontId="15" fillId="4" borderId="1" applyAlignment="1" pivotButton="0" quotePrefix="0" xfId="0">
      <alignment horizontal="left" vertical="center" indent="1"/>
    </xf>
    <xf numFmtId="0" fontId="34" fillId="4" borderId="0" applyAlignment="1" pivotButton="0" quotePrefix="0" xfId="0">
      <alignment horizontal="left" vertical="bottom" indent="1"/>
    </xf>
    <xf numFmtId="0" fontId="35" fillId="4" borderId="0" applyAlignment="1" pivotButton="0" quotePrefix="0" xfId="0">
      <alignment horizontal="left" vertical="top" wrapText="1" indent="1"/>
    </xf>
    <xf numFmtId="0" fontId="36" fillId="3" borderId="0" applyAlignment="1" pivotButton="0" quotePrefix="0" xfId="0">
      <alignment horizontal="center" vertical="center"/>
    </xf>
    <xf numFmtId="0" fontId="36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1" fontId="7" fillId="4" borderId="1" applyAlignment="1" pivotButton="0" quotePrefix="0" xfId="0">
      <alignment horizontal="center" vertical="center"/>
    </xf>
    <xf numFmtId="165" fontId="1" fillId="4" borderId="1" applyAlignment="1" pivotButton="0" quotePrefix="0" xfId="0">
      <alignment horizontal="center" vertical="center"/>
    </xf>
    <xf numFmtId="1" fontId="1" fillId="4" borderId="1" applyAlignment="1" pivotButton="0" quotePrefix="0" xfId="0">
      <alignment horizontal="center" vertical="center"/>
    </xf>
    <xf numFmtId="172" fontId="7" fillId="4" borderId="1" applyAlignment="1" pivotButton="0" quotePrefix="0" xfId="0">
      <alignment horizontal="left" vertical="center" indent="1"/>
    </xf>
    <xf numFmtId="0" fontId="0" fillId="4" borderId="1" pivotButton="0" quotePrefix="0" xfId="0"/>
    <xf numFmtId="170" fontId="7" fillId="4" borderId="1" applyAlignment="1" pivotButton="0" quotePrefix="0" xfId="0">
      <alignment horizontal="left" vertical="center" indent="1"/>
    </xf>
    <xf numFmtId="0" fontId="7" fillId="4" borderId="1" applyAlignment="1" pivotButton="0" quotePrefix="0" xfId="0">
      <alignment horizontal="center" vertical="center"/>
    </xf>
    <xf numFmtId="0" fontId="1" fillId="4" borderId="1" applyAlignment="1" pivotButton="0" quotePrefix="0" xfId="0">
      <alignment horizontal="left" vertical="center" indent="1"/>
    </xf>
    <xf numFmtId="0" fontId="37" fillId="2" borderId="0" applyAlignment="1" pivotButton="0" quotePrefix="0" xfId="0">
      <alignment horizontal="left" vertical="center"/>
    </xf>
    <xf numFmtId="0" fontId="6" fillId="3" borderId="0" applyAlignment="1" pivotButton="0" quotePrefix="0" xfId="0">
      <alignment vertical="center" wrapText="1" indent="1"/>
    </xf>
    <xf numFmtId="0" fontId="6" fillId="5" borderId="0" applyAlignment="1" pivotButton="0" quotePrefix="0" xfId="0">
      <alignment vertical="center" indent="1"/>
    </xf>
    <xf numFmtId="0" fontId="1" fillId="4" borderId="1" pivotButton="0" quotePrefix="0" xfId="0"/>
    <xf numFmtId="2" fontId="7" fillId="4" borderId="1" pivotButton="0" quotePrefix="0" xfId="0"/>
    <xf numFmtId="164" fontId="7" fillId="4" borderId="1" pivotButton="0" quotePrefix="0" xfId="0"/>
    <xf numFmtId="1" fontId="7" fillId="4" borderId="1" pivotButton="0" quotePrefix="0" xfId="0"/>
    <xf numFmtId="0" fontId="8" fillId="2" borderId="0" pivotButton="0" quotePrefix="0" xfId="0"/>
  </cellXfs>
  <cellStyles count="1">
    <cellStyle name="Normal" xfId="0" builtinId="0" hidden="0"/>
  </cellStyles>
  <dxfs count="15">
    <dxf>
      <font>
        <name val="Aptos"/>
        <b val="1"/>
        <color rgb="00B5532B"/>
      </font>
      <fill>
        <patternFill patternType="solid">
          <fgColor rgb="00F6E1D5"/>
          <bgColor rgb="00F6E1D5"/>
        </patternFill>
      </fill>
    </dxf>
    <dxf>
      <font>
        <name val="Aptos"/>
        <b val="1"/>
        <color rgb="00B8862B"/>
      </font>
      <fill>
        <patternFill patternType="solid">
          <fgColor rgb="00F7EBD0"/>
          <bgColor rgb="00F7EBD0"/>
        </patternFill>
      </fill>
    </dxf>
    <dxf>
      <font>
        <name val="Aptos"/>
        <b val="1"/>
        <color rgb="004F6B3A"/>
      </font>
      <fill>
        <patternFill patternType="solid">
          <fgColor rgb="00E4EADB"/>
          <bgColor rgb="00E4EADB"/>
        </patternFill>
      </fill>
    </dxf>
    <dxf>
      <font>
        <name val="Aptos"/>
        <b val="1"/>
        <color rgb="0048627A"/>
      </font>
      <fill>
        <patternFill patternType="solid">
          <fgColor rgb="00DFE6EC"/>
          <bgColor rgb="00DFE6EC"/>
        </patternFill>
      </fill>
    </dxf>
    <dxf>
      <font>
        <name val="Aptos"/>
        <b val="1"/>
        <color rgb="008A7F74"/>
      </font>
      <fill>
        <patternFill patternType="solid">
          <fgColor rgb="00ECE8E1"/>
          <bgColor rgb="00ECE8E1"/>
        </patternFill>
      </fill>
    </dxf>
    <dxf>
      <font>
        <name val="Aptos"/>
        <color rgb="00A89E93"/>
      </font>
      <fill>
        <patternFill patternType="solid">
          <fgColor rgb="00ECE8E1"/>
          <bgColor rgb="00ECE8E1"/>
        </patternFill>
      </fill>
    </dxf>
    <dxf>
      <font>
        <name val="Aptos"/>
        <b val="1"/>
        <color rgb="00B5532B"/>
      </font>
    </dxf>
    <dxf>
      <font>
        <name val="Aptos"/>
        <b val="1"/>
        <color rgb="00B8862B"/>
      </font>
    </dxf>
    <dxf>
      <font>
        <name val="Aptos"/>
        <b val="1"/>
        <color rgb="004F6B3A"/>
        <sz val="54"/>
      </font>
      <fill>
        <patternFill patternType="solid">
          <fgColor rgb="00E4EADB"/>
          <bgColor rgb="00E4EADB"/>
        </patternFill>
      </fill>
    </dxf>
    <dxf>
      <font>
        <name val="Aptos"/>
        <b val="1"/>
        <color rgb="0048627A"/>
        <sz val="54"/>
      </font>
      <fill>
        <patternFill patternType="solid">
          <fgColor rgb="00DFE6EC"/>
          <bgColor rgb="00DFE6EC"/>
        </patternFill>
      </fill>
    </dxf>
    <dxf>
      <font>
        <name val="Aptos"/>
        <b val="1"/>
        <color rgb="008A7F74"/>
        <sz val="54"/>
      </font>
      <fill>
        <patternFill patternType="solid">
          <fgColor rgb="00ECE8E1"/>
          <bgColor rgb="00ECE8E1"/>
        </patternFill>
      </fill>
    </dxf>
    <dxf>
      <font>
        <name val="Aptos"/>
        <b val="1"/>
        <color rgb="00B5532B"/>
        <sz val="22"/>
      </font>
    </dxf>
    <dxf>
      <font>
        <name val="Aptos"/>
        <b val="1"/>
        <color rgb="00B8862B"/>
        <sz val="22"/>
      </font>
    </dxf>
    <dxf>
      <font>
        <name val="Aptos"/>
        <b val="1"/>
        <color rgb="00FFFFFF"/>
      </font>
      <fill>
        <patternFill patternType="solid">
          <fgColor rgb="004F6B3A"/>
          <bgColor rgb="004F6B3A"/>
        </patternFill>
      </fill>
    </dxf>
    <dxf>
      <font>
        <name val="Aptos"/>
        <b val="1"/>
        <color rgb="004F6B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tblBestand" displayName="tblBestand" ref="A13:AC213" headerRowCount="1">
  <autoFilter ref="A13:AC213"/>
  <tableColumns count="29">
    <tableColumn id="1" name="ID"/>
    <tableColumn id="2" name="Name"/>
    <tableColumn id="3" name="Gattung"/>
    <tableColumn id="4" name="Art"/>
    <tableColumn id="5" name="Lebensweise"/>
    <tableColumn id="6" name="Geschlecht"/>
    <tableColumn id="7" name="Geschlecht bestimmt per"/>
    <tableColumn id="8" name="Entwicklungsstand"/>
    <tableColumn id="9" name="Größe bei Kauf (cm)"/>
    <tableColumn id="10" name="Kaufdatum"/>
    <tableColumn id="11" name="Gekauft bei"/>
    <tableColumn id="12" name="Preis"/>
    <tableColumn id="13" name="Herkunft"/>
    <tableColumn id="14" name="CITES / meldepflichtig"/>
    <tableColumn id="15" name="Nachweis vorhanden"/>
    <tableColumn id="16" name="Terrarium"/>
    <tableColumn id="17" name="Notizen"/>
    <tableColumn id="18" name="Wissenschaftlicher Name"/>
    <tableColumn id="19" name="Letzte Häutung"/>
    <tableColumn id="20" name="Häutungen gesamt"/>
    <tableColumn id="21" name="Ø Abstand letzte 3 (Monate)"/>
    <tableColumn id="22" name="Tage seit Häutung"/>
    <tableColumn id="23" name="Nächste Häutung ca."/>
    <tableColumn id="24" name="Größe aktuell (cm)"/>
    <tableColumn id="25" name="Letzte Fütterung (angenommen)"/>
    <tableColumn id="26" name="Tage ohne Futter"/>
    <tableColumn id="27" name="Hinweis"/>
    <tableColumn id="28" name="Sortierschlüssel"/>
    <tableColumn id="29" name="Sichtbar"/>
  </tableColumns>
  <tableStyleInfo name="TableStyleLight1" showRowStripes="0"/>
</table>
</file>

<file path=xl/tables/table2.xml><?xml version="1.0" encoding="utf-8"?>
<table xmlns="http://schemas.openxmlformats.org/spreadsheetml/2006/main" id="2" name="tblHaeutungen" displayName="tblHaeutungen" ref="A6:N1006" headerRowCount="1">
  <autoFilter ref="A6:N1006"/>
  <tableColumns count="14">
    <tableColumn id="1" name="Tier-ID"/>
    <tableColumn id="2" name="Name"/>
    <tableColumn id="3" name="Datum"/>
    <tableColumn id="4" name="Größe danach (cm)"/>
    <tableColumn id="5" name="Exuvie aufbewahrt"/>
    <tableColumn id="6" name="Geschlecht laut Exuvie"/>
    <tableColumn id="7" name="Notiz"/>
    <tableColumn id="8" name="Häutung Nr."/>
    <tableColumn id="9" name="Abstand (Tage)"/>
    <tableColumn id="10" name="Abstand (Monate)"/>
    <tableColumn id="11" name="Nr. von hinten"/>
    <tableColumn id="12" name="Schlüssel"/>
    <tableColumn id="13" name="Filter aktiv"/>
    <tableColumn id="14" name="Sortierschlüssel"/>
  </tableColumns>
  <tableStyleInfo name="TableStyleLight1" showRowStripes="0"/>
</table>
</file>

<file path=xl/tables/table3.xml><?xml version="1.0" encoding="utf-8"?>
<table xmlns="http://schemas.openxmlformats.org/spreadsheetml/2006/main" id="3" name="tblFuetterung" displayName="tblFuetterung" ref="A6:F2006" headerRowCount="1">
  <autoFilter ref="A6:F2006"/>
  <tableColumns count="6">
    <tableColumn id="1" name="Tier-ID"/>
    <tableColumn id="2" name="Name"/>
    <tableColumn id="3" name="Datum"/>
    <tableColumn id="4" name="Futtertier"/>
    <tableColumn id="5" name="Angenommen"/>
    <tableColumn id="6" name="Notiz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ogelspinner.net/vogelspinnen-boersen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vogelspinner.net" TargetMode="External" Id="rId1"/><Relationship Type="http://schemas.openxmlformats.org/officeDocument/2006/relationships/table" Target="/xl/tables/table1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vogelspinner.net" TargetMode="External" Id="rId1"/><Relationship Type="http://schemas.openxmlformats.org/officeDocument/2006/relationships/table" Target="/xl/tables/table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vogelspinner.net" TargetMode="External" Id="rId1"/><Relationship Type="http://schemas.openxmlformats.org/officeDocument/2006/relationships/table" Target="/xl/tables/table3.xm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vogelspinner.net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vogelspinner.net" TargetMode="External" Id="rId1"/></Relationships>
</file>

<file path=xl/worksheets/sheet1.xml><?xml version="1.0" encoding="utf-8"?>
<worksheet xmlns="http://schemas.openxmlformats.org/spreadsheetml/2006/main">
  <sheetPr>
    <tabColor rgb="002B2420"/>
    <outlinePr summaryBelow="1" summaryRight="1"/>
    <pageSetUpPr/>
  </sheetPr>
  <dimension ref="A1:M60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0" customWidth="1" min="3" max="3"/>
    <col width="70" customWidth="1" min="4" max="4"/>
    <col width="3" customWidth="1" min="5" max="5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0" customHeight="1">
      <c r="A2" s="1" t="n"/>
      <c r="B2" s="2" t="inlineStr">
        <is>
          <t>VOGELSPINNEN BESTANDSBUCH</t>
        </is>
      </c>
      <c r="C2" s="3" t="n"/>
      <c r="D2" s="3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20" customHeight="1">
      <c r="A3" s="1" t="n"/>
      <c r="B3" s="4" t="inlineStr">
        <is>
          <t>Bestand, Häutungen und Fütterung. Alles an einem Ort.</t>
        </is>
      </c>
      <c r="C3" s="3" t="n"/>
      <c r="D3" s="3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 ht="30" customHeight="1">
      <c r="A5" s="1" t="n"/>
      <c r="B5" s="5" t="inlineStr">
        <is>
          <t>In 5 Schritten startklar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30" customHeight="1">
      <c r="A6" s="1" t="n"/>
      <c r="B6" s="6" t="n">
        <v>1</v>
      </c>
      <c r="C6" s="7" t="inlineStr">
        <is>
          <t>Tier anlegen</t>
        </is>
      </c>
      <c r="D6" s="8" t="inlineStr">
        <is>
          <t>Blatt „Bestand“: eine Zeile pro Tier. Die ID (z.B. T007) verbindet alles miteinander.</t>
        </is>
      </c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 ht="30" customHeight="1">
      <c r="A7" s="1" t="n"/>
      <c r="B7" s="6" t="n">
        <v>2</v>
      </c>
      <c r="C7" s="7" t="inlineStr">
        <is>
          <t>Häutung eintragen</t>
        </is>
      </c>
      <c r="D7" s="8" t="inlineStr">
        <is>
          <t>Blatt „Häutungen“: ID wählen, Datum rein. Nummer und Abstände rechnet die Datei selbst.</t>
        </is>
      </c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30" customHeight="1">
      <c r="A8" s="1" t="n"/>
      <c r="B8" s="6" t="n">
        <v>3</v>
      </c>
      <c r="C8" s="7" t="inlineStr">
        <is>
          <t>Fütterung eintragen</t>
        </is>
      </c>
      <c r="D8" s="8" t="inlineStr">
        <is>
          <t>Blatt „Fütterung“ (optional): damit erkennt die Datei, wer schon länger nichts frisst.</t>
        </is>
      </c>
      <c r="E8" s="1" t="n"/>
      <c r="F8" s="1" t="n"/>
      <c r="G8" s="1" t="n"/>
      <c r="H8" s="1" t="n"/>
      <c r="I8" s="1" t="n"/>
      <c r="J8" s="1" t="n"/>
      <c r="K8" s="1" t="n"/>
      <c r="L8" s="1" t="n"/>
      <c r="M8" s="1" t="n"/>
    </row>
    <row r="9" ht="30" customHeight="1">
      <c r="A9" s="1" t="n"/>
      <c r="B9" s="6" t="n">
        <v>4</v>
      </c>
      <c r="C9" s="7" t="inlineStr">
        <is>
          <t>Filtern</t>
        </is>
      </c>
      <c r="D9" s="8" t="inlineStr">
        <is>
          <t>In „Bestand“ die Pfeile in der Kopfzeile nutzen. Die Statusleiste darüber rechnet sofort mit.</t>
        </is>
      </c>
      <c r="E9" s="1" t="n"/>
      <c r="F9" s="1" t="n"/>
      <c r="G9" s="1" t="n"/>
      <c r="H9" s="1" t="n"/>
      <c r="I9" s="1" t="n"/>
      <c r="J9" s="1" t="n"/>
      <c r="K9" s="1" t="n"/>
      <c r="L9" s="1" t="n"/>
      <c r="M9" s="1" t="n"/>
    </row>
    <row r="10" ht="30" customHeight="1">
      <c r="A10" s="1" t="n"/>
      <c r="B10" s="6" t="n">
        <v>5</v>
      </c>
      <c r="C10" s="7" t="inlineStr">
        <is>
          <t>Spinnen-Akte öffnen</t>
        </is>
      </c>
      <c r="D10" s="8" t="inlineStr">
        <is>
          <t>Tier-ID wählen und die komplette Häutungshistorie mit allen Abständen sehen.</t>
        </is>
      </c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</row>
    <row r="11" ht="16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</row>
    <row r="12" ht="30" customHeight="1">
      <c r="A12" s="1" t="n"/>
      <c r="B12" s="5" t="inlineStr">
        <is>
          <t>Beispieldaten entfernen</t>
        </is>
      </c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</row>
    <row r="13" ht="36" customHeight="1">
      <c r="A13" s="1" t="n"/>
      <c r="B13" s="9" t="inlineStr">
        <is>
          <t>Bereit für deine eigenen Tiere? Schaltfläche anklicken, Excel springt hin und markiert die Beispieldaten. Dann nur noch die Entf-Taste drücken. Das für alle drei nacheinander.</t>
        </is>
      </c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</row>
    <row r="14" ht="32" customHeight="1">
      <c r="A14" s="1" t="n"/>
      <c r="B14" s="10" t="inlineStr">
        <is>
          <t>Beispieltiere markieren</t>
        </is>
      </c>
      <c r="C14" s="11" t="n"/>
      <c r="D14" s="12" t="inlineStr">
        <is>
          <t>Springt zu „Bestand“ und markiert die 6 Beispieltiere. Dann Entf drücken.</t>
        </is>
      </c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</row>
    <row r="15" ht="32" customHeight="1">
      <c r="A15" s="1" t="n"/>
      <c r="B15" s="10" t="inlineStr">
        <is>
          <t>Beispiel-Häutungen markieren</t>
        </is>
      </c>
      <c r="C15" s="11" t="n"/>
      <c r="D15" s="12" t="inlineStr">
        <is>
          <t>Springt zu „Häutungen“ und markiert die 20 Beispiel-Häutungen. Dann Entf drücken.</t>
        </is>
      </c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</row>
    <row r="16" ht="32" customHeight="1">
      <c r="A16" s="1" t="n"/>
      <c r="B16" s="10" t="inlineStr">
        <is>
          <t>Beispiel-Fütterungen markieren</t>
        </is>
      </c>
      <c r="C16" s="11" t="n"/>
      <c r="D16" s="12" t="inlineStr">
        <is>
          <t>Springt zu „Fütterung“ und markiert die 9 Beispiel-Fütterungen. Dann Entf drücken.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</row>
    <row r="17" ht="22" customHeight="1">
      <c r="A17" s="1" t="n"/>
      <c r="B17" s="13" t="inlineStr">
        <is>
          <t>Keine Sorge: Markiert werden nur Eingabefelder. Die Spalten, die automatisch rechnen, werden übersprungen.</t>
        </is>
      </c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</row>
    <row r="18" ht="10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</row>
    <row r="19" ht="30" customHeight="1">
      <c r="A19" s="1" t="n"/>
      <c r="B19" s="5" t="inlineStr">
        <is>
          <t>Was die Hinweise in der Spalte „Hinweis“ bedeuten</t>
        </is>
      </c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</row>
    <row r="20" ht="24" customHeight="1">
      <c r="A20" s="1" t="n"/>
      <c r="B20" s="14" t="inlineStr">
        <is>
          <t>Im Plan</t>
        </is>
      </c>
      <c r="C20" s="15" t="n"/>
      <c r="D20" s="12" t="inlineStr">
        <is>
          <t>Alles im üblichen Rhythmus dieses Tieres.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</row>
    <row r="21" ht="24" customHeight="1">
      <c r="A21" s="1" t="n"/>
      <c r="B21" s="16" t="inlineStr">
        <is>
          <t>Fällig</t>
        </is>
      </c>
      <c r="C21" s="17" t="n"/>
      <c r="D21" s="12" t="inlineStr">
        <is>
          <t>Der Ø-Abstand der letzten 3 Häutungen ist erreicht.</t>
        </is>
      </c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</row>
    <row r="22" ht="24" customHeight="1">
      <c r="A22" s="1" t="n"/>
      <c r="B22" s="18" t="inlineStr">
        <is>
          <t>Überfällig</t>
        </is>
      </c>
      <c r="C22" s="19" t="n"/>
      <c r="D22" s="12" t="inlineStr">
        <is>
          <t>Deutlich länger als sonst. Kein Grund zur Panik, aber genauer hinschauen.</t>
        </is>
      </c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</row>
    <row r="23" ht="24" customHeight="1">
      <c r="A23" s="1" t="n"/>
      <c r="B23" s="18" t="inlineStr">
        <is>
          <t>Frisst nicht</t>
        </is>
      </c>
      <c r="C23" s="19" t="n"/>
      <c r="D23" s="12" t="inlineStr">
        <is>
          <t>Länger keine angenommene Fütterung (Grenze im Blatt „Listen“ einstellbar).</t>
        </is>
      </c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</row>
    <row r="24" ht="24" customHeight="1">
      <c r="A24" s="1" t="n"/>
      <c r="B24" s="20" t="inlineStr">
        <is>
          <t>Adultes Männchen</t>
        </is>
      </c>
      <c r="C24" s="21" t="n"/>
      <c r="D24" s="12" t="inlineStr">
        <is>
          <t>Häutet sich in der Regel nicht mehr, daher keine Prognose.</t>
        </is>
      </c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</row>
    <row r="25" ht="24" customHeight="1">
      <c r="A25" s="1" t="n"/>
      <c r="B25" s="22" t="inlineStr">
        <is>
          <t>Zu wenig Daten</t>
        </is>
      </c>
      <c r="C25" s="23" t="n"/>
      <c r="D25" s="12" t="inlineStr">
        <is>
          <t>Ab 2 eingetragenen Häutungen gibt es eine Prognose.</t>
        </is>
      </c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</row>
    <row r="27" ht="16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</row>
    <row r="28" ht="30" customHeight="1">
      <c r="A28" s="1" t="n"/>
      <c r="B28" s="5" t="inlineStr">
        <is>
          <t>Gut zu wissen</t>
        </is>
      </c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 ht="22" customHeight="1">
      <c r="A29" s="1" t="n"/>
      <c r="B29" s="24" t="inlineStr">
        <is>
          <t>•   Weiße Felder sind zum Ausfüllen, beige Felder rechnen automatisch. Die bitte nicht überschreiben.</t>
        </is>
      </c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2" customHeight="1">
      <c r="A30" s="1" t="n"/>
      <c r="B30" s="24" t="inlineStr">
        <is>
          <t>•   Beim Löschen immer nur Inhalte entfernen (Entf-Taste), nie ganze Zeilen. Sonst gehen die Formeln verloren.</t>
        </is>
      </c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2" customHeight="1">
      <c r="A31" s="1" t="n"/>
      <c r="B31" s="24" t="inlineStr">
        <is>
          <t>•   Eigene Gattungen, Händler oder Futtertiere im Blatt „Listen“ in eine freie Zeile schreiben.</t>
        </is>
      </c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2" customHeight="1">
      <c r="A32" s="1" t="n"/>
      <c r="B32" s="24" t="inlineStr">
        <is>
          <t>•   Filter-Buttons gewünscht? In „Bestand“ in die Tabelle klicken, dann Einfügen &gt; Datenschnitt.</t>
        </is>
      </c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2" customHeight="1">
      <c r="A33" s="1" t="n"/>
      <c r="B33" s="24" t="inlineStr">
        <is>
          <t>•   Tier abgegeben? Zeile im Bestand löschen und die passenden Einträge in „Häutungen“ und „Fütterung“ gleich mit.</t>
        </is>
      </c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2" customHeight="1">
      <c r="A34" s="1" t="n"/>
      <c r="B34" s="24" t="inlineStr">
        <is>
          <t>•   Platz für 200 Tiere, 1.000 Häutungen und 2.000 Fütterungen.</t>
        </is>
      </c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16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4" customHeight="1">
      <c r="A36" s="1" t="n"/>
      <c r="B36" s="25" t="inlineStr">
        <is>
          <t>Mehr für dein Hobby auf vogelspinner.net</t>
        </is>
      </c>
      <c r="C36" s="26" t="n"/>
      <c r="D36" s="26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</row>
    <row r="37" ht="22" customHeight="1">
      <c r="A37" s="1" t="n"/>
      <c r="B37" s="27" t="inlineStr">
        <is>
          <t>Alle Vogelspinnen- und Reptilienbörsen im Überblick: vogelspinner.net/vogelspinnen-boersen</t>
        </is>
      </c>
      <c r="C37" s="26" t="n"/>
      <c r="D37" s="26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</row>
  </sheetData>
  <mergeCells count="16">
    <mergeCell ref="B33:D33"/>
    <mergeCell ref="B21:C21"/>
    <mergeCell ref="B16:C16"/>
    <mergeCell ref="B24:C24"/>
    <mergeCell ref="B15:C15"/>
    <mergeCell ref="B25:C25"/>
    <mergeCell ref="B31:D31"/>
    <mergeCell ref="B20:C20"/>
    <mergeCell ref="B32:D32"/>
    <mergeCell ref="B23:C23"/>
    <mergeCell ref="B13:D13"/>
    <mergeCell ref="B14:C14"/>
    <mergeCell ref="B22:C22"/>
    <mergeCell ref="B30:D30"/>
    <mergeCell ref="B29:D29"/>
    <mergeCell ref="B34:D34"/>
  </mergeCells>
  <hyperlinks>
    <hyperlink ref="B14" location="BeispielTiere" tooltip="Klicken, dann Entf drücken"/>
    <hyperlink ref="B15" location="BeispielHäutungen" tooltip="Klicken, dann Entf drücken"/>
    <hyperlink ref="B16" location="BeispielFütterungen" tooltip="Klicken, dann Entf drücken"/>
    <hyperlink xmlns:r="http://schemas.openxmlformats.org/officeDocument/2006/relationships" ref="B3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B2420"/>
    <outlinePr summaryBelow="1" summaryRight="1"/>
    <pageSetUpPr/>
  </sheetPr>
  <dimension ref="A1:AF213"/>
  <sheetViews>
    <sheetView showGridLines="0" tabSelected="0" zoomScale="95" workbookViewId="0">
      <pane xSplit="2" topLeftCell="C1" activePane="topRight" state="frozen"/>
      <selection pane="topRight" activeCell="A1" sqref="A1"/>
    </sheetView>
  </sheetViews>
  <sheetFormatPr baseColWidth="8" defaultRowHeight="15"/>
  <cols>
    <col width="8" customWidth="1" min="1" max="1"/>
    <col width="14" customWidth="1" min="2" max="2"/>
    <col width="16" customWidth="1" min="3" max="3"/>
    <col width="18" customWidth="1" min="4" max="4"/>
    <col width="16" customWidth="1" min="5" max="5"/>
    <col width="13" customWidth="1" min="6" max="6"/>
    <col width="15" customWidth="1" min="7" max="7"/>
    <col width="14" customWidth="1" min="8" max="8"/>
    <col width="11" customWidth="1" min="9" max="9"/>
    <col width="12" customWidth="1" min="10" max="10"/>
    <col width="18" customWidth="1" min="11" max="11"/>
    <col width="9" customWidth="1" min="12" max="12"/>
    <col width="12" customWidth="1" min="13" max="13"/>
    <col width="12" customWidth="1" min="14" max="14"/>
    <col width="11" customWidth="1" min="15" max="15"/>
    <col width="11" customWidth="1" min="16" max="16"/>
    <col width="30" customWidth="1" min="17" max="17"/>
    <col width="26" customWidth="1" min="18" max="18"/>
    <col width="13" customWidth="1" min="19" max="19"/>
    <col width="11" customWidth="1" min="20" max="20"/>
    <col width="13" customWidth="1" min="21" max="21"/>
    <col width="11" customWidth="1" min="22" max="22"/>
    <col width="14" customWidth="1" min="23" max="23"/>
    <col width="11" customWidth="1" min="24" max="24"/>
    <col width="14" customWidth="1" min="25" max="25"/>
    <col width="11" customWidth="1" min="26" max="26"/>
    <col width="18" customWidth="1" min="27" max="27"/>
    <col hidden="1" width="6" customWidth="1" min="28" max="28"/>
    <col hidden="1" width="6" customWidth="1" min="29" max="29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</row>
    <row r="2" ht="30" customHeight="1">
      <c r="A2" s="2" t="inlineStr">
        <is>
          <t>VOGELSPINNEN BESTANDSBUCH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28" t="inlineStr">
        <is>
          <t>vogelspinner.net</t>
        </is>
      </c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20" customHeight="1">
      <c r="A3" s="4" t="inlineStr">
        <is>
          <t>Eine Zeile pro Tier. Weiße Felder ausfüllen, beige Felder rechnen automatisch.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29" t="inlineStr">
        <is>
          <t>Kostenlose Vorlage</t>
        </is>
      </c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</row>
    <row r="4" ht="12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</row>
    <row r="5" ht="26" customHeight="1">
      <c r="A5" s="30" t="inlineStr">
        <is>
          <t>TIERE</t>
        </is>
      </c>
      <c r="B5" s="31" t="n"/>
      <c r="C5" s="32" t="inlineStr">
        <is>
          <t>Geschlecht</t>
        </is>
      </c>
      <c r="D5" s="33" t="n"/>
      <c r="E5" s="33" t="n"/>
      <c r="F5" s="31" t="n"/>
      <c r="G5" s="32" t="inlineStr">
        <is>
          <t>Entwicklung</t>
        </is>
      </c>
      <c r="H5" s="33" t="n"/>
      <c r="I5" s="33" t="n"/>
      <c r="J5" s="31" t="n"/>
      <c r="K5" s="32" t="inlineStr">
        <is>
          <t>Handlungsbedarf</t>
        </is>
      </c>
      <c r="L5" s="33" t="n"/>
      <c r="M5" s="33" t="n"/>
      <c r="N5" s="31" t="n"/>
      <c r="O5" s="32" t="inlineStr">
        <is>
          <t>Nächste Häutungen</t>
        </is>
      </c>
      <c r="P5" s="33" t="n"/>
      <c r="Q5" s="33" t="n"/>
      <c r="R5" s="3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</row>
    <row r="6" ht="30" customHeight="1">
      <c r="A6" s="34">
        <f>COUNTIFS($AC$14:$AC$213,1)</f>
        <v/>
      </c>
      <c r="B6" s="35" t="n"/>
      <c r="C6" s="36" t="inlineStr">
        <is>
          <t>♀   Weiblich</t>
        </is>
      </c>
      <c r="E6" s="37">
        <f>COUNTIFS($AC$14:$AC$213,1,$F$14:$F$213,"weiblich")</f>
        <v/>
      </c>
      <c r="F6" s="35" t="n"/>
      <c r="G6" s="36" t="inlineStr">
        <is>
          <t>Sling</t>
        </is>
      </c>
      <c r="I6" s="37">
        <f>COUNTIFS($AC$14:$AC$213,1,$H$14:$H$213,"Sling")</f>
        <v/>
      </c>
      <c r="J6" s="35" t="n"/>
      <c r="K6" s="38">
        <f>COUNTIFS($AC$14:$AC$213,1,$AA$14:$AA$213,"Fällig")</f>
        <v/>
      </c>
      <c r="L6" s="39" t="inlineStr">
        <is>
          <t>Häutung fällig</t>
        </is>
      </c>
      <c r="M6" s="40" t="n"/>
      <c r="N6" s="41" t="n"/>
      <c r="O6" s="42">
        <f>IF(AE6="",IF(1=1,"Noch keine Prognose",""),INDEX($B$14:$B$213,AE6))</f>
        <v/>
      </c>
      <c r="Q6" s="43">
        <f>IF(AE6="","",INDEX($W$14:$W$213,AE6)-TODAY())</f>
        <v/>
      </c>
      <c r="R6" s="44">
        <f>IF(AE6="","",INDEX($R$14:$R$213,AE6))</f>
        <v/>
      </c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>
        <f>IFERROR(SMALL($AB$14:$AB$213,1),"")</f>
        <v/>
      </c>
      <c r="AE6" s="1">
        <f>IF(AD6="","",MATCH(AD6,$AB$14:$AB$213,0))</f>
        <v/>
      </c>
      <c r="AF6" s="1" t="n"/>
    </row>
    <row r="7" ht="30" customHeight="1">
      <c r="A7" s="45" t="n"/>
      <c r="B7" s="35" t="n"/>
      <c r="C7" s="36" t="inlineStr">
        <is>
          <t>♂   Männlich</t>
        </is>
      </c>
      <c r="E7" s="37">
        <f>COUNTIFS($AC$14:$AC$213,1,$F$14:$F$213,"männlich")</f>
        <v/>
      </c>
      <c r="F7" s="35" t="n"/>
      <c r="G7" s="36" t="inlineStr">
        <is>
          <t>Juvenil</t>
        </is>
      </c>
      <c r="I7" s="37">
        <f>COUNTIFS($AC$14:$AC$213,1,$H$14:$H$213,"Juvenil")</f>
        <v/>
      </c>
      <c r="J7" s="35" t="n"/>
      <c r="K7" s="46">
        <f>COUNTIFS($AC$14:$AC$213,1,$AA$14:$AA$213,"Überfällig")</f>
        <v/>
      </c>
      <c r="L7" s="47" t="inlineStr">
        <is>
          <t>Häutung überfällig</t>
        </is>
      </c>
      <c r="M7" s="40" t="n"/>
      <c r="N7" s="41" t="n"/>
      <c r="O7" s="42">
        <f>IF(AE7="",IF(2=1,"Noch keine Prognose",""),INDEX($B$14:$B$213,AE7))</f>
        <v/>
      </c>
      <c r="Q7" s="43">
        <f>IF(AE7="","",INDEX($W$14:$W$213,AE7)-TODAY())</f>
        <v/>
      </c>
      <c r="R7" s="44">
        <f>IF(AE7="","",INDEX($R$14:$R$213,AE7))</f>
        <v/>
      </c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>
        <f>IFERROR(SMALL($AB$14:$AB$213,2),"")</f>
        <v/>
      </c>
      <c r="AE7" s="1">
        <f>IF(AD7="","",MATCH(AD7,$AB$14:$AB$213,0))</f>
        <v/>
      </c>
      <c r="AF7" s="1" t="n"/>
    </row>
    <row r="8" ht="30" customHeight="1">
      <c r="A8" s="45" t="n"/>
      <c r="B8" s="35" t="n"/>
      <c r="C8" s="36" t="inlineStr">
        <is>
          <t>?    Unbestimmt</t>
        </is>
      </c>
      <c r="E8" s="37">
        <f>COUNTIFS($AC$14:$AC$213,1,$F$14:$F$213,"unbestimmt")</f>
        <v/>
      </c>
      <c r="F8" s="35" t="n"/>
      <c r="G8" s="36" t="inlineStr">
        <is>
          <t>Subadult</t>
        </is>
      </c>
      <c r="I8" s="37">
        <f>COUNTIFS($AC$14:$AC$213,1,$H$14:$H$213,"Subadult")</f>
        <v/>
      </c>
      <c r="J8" s="35" t="n"/>
      <c r="K8" s="46">
        <f>COUNTIFS($AC$14:$AC$213,1,$AA$14:$AA$213,"Frisst nicht")</f>
        <v/>
      </c>
      <c r="L8" s="47" t="inlineStr">
        <is>
          <t>Frisst länger nicht</t>
        </is>
      </c>
      <c r="M8" s="40" t="n"/>
      <c r="N8" s="41" t="n"/>
      <c r="O8" s="42">
        <f>IF(AE8="",IF(3=1,"Noch keine Prognose",""),INDEX($B$14:$B$213,AE8))</f>
        <v/>
      </c>
      <c r="Q8" s="43">
        <f>IF(AE8="","",INDEX($W$14:$W$213,AE8)-TODAY())</f>
        <v/>
      </c>
      <c r="R8" s="44">
        <f>IF(AE8="","",INDEX($R$14:$R$213,AE8))</f>
        <v/>
      </c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>
        <f>IFERROR(SMALL($AB$14:$AB$213,3),"")</f>
        <v/>
      </c>
      <c r="AE8" s="1">
        <f>IF(AD8="","",MATCH(AD8,$AB$14:$AB$213,0))</f>
        <v/>
      </c>
      <c r="AF8" s="1" t="n"/>
    </row>
    <row r="9" ht="30" customHeight="1">
      <c r="A9" s="48">
        <f>IF(SUBTOTAL(103,$A$14:$A$213)&lt;COUNTA($A$14:$A$213),"gefiltert","im Bestand")</f>
        <v/>
      </c>
      <c r="B9" s="35" t="n"/>
      <c r="C9" s="49" t="n"/>
      <c r="D9" s="50" t="n"/>
      <c r="E9" s="50" t="n"/>
      <c r="F9" s="51" t="n"/>
      <c r="G9" s="36" t="inlineStr">
        <is>
          <t>Adult</t>
        </is>
      </c>
      <c r="I9" s="37">
        <f>COUNTIFS($AC$14:$AC$213,1,$H$14:$H$213,"Adult")</f>
        <v/>
      </c>
      <c r="J9" s="35" t="n"/>
      <c r="K9" s="52">
        <f>COUNTIFS($AC$14:$AC$213,1,$AA$14:$AA$213,"Zu wenig Daten")</f>
        <v/>
      </c>
      <c r="L9" s="53" t="inlineStr">
        <is>
          <t>Noch ohne Prognose</t>
        </is>
      </c>
      <c r="M9" s="40" t="n"/>
      <c r="N9" s="41" t="n"/>
      <c r="O9" s="54">
        <f>"Häutungen "&amp;YEAR(TODAY())&amp;": "&amp;COUNTIFS('Häutungen'!$M$7:$M$1006,1,'Häutungen'!$C$7:$C$1006,"&gt;="&amp;DATE(YEAR(TODAY()),1,1))&amp;"     Exuvien: "&amp;COUNTIFS('Häutungen'!$M$7:$M$1006,1,'Häutungen'!$E$7:$E$1006,"Ja")&amp;"     Bestandswert: "&amp;FIXED(SUMIFS($L$14:$L$213,$AC$14:$AC$213,1),0)&amp;" €"</f>
        <v/>
      </c>
      <c r="R9" s="35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</row>
    <row r="10" ht="20" customHeight="1">
      <c r="A10" s="13" t="inlineStr">
        <is>
          <t>Tipp: Filter über die Pfeile in der Tabellen-Kopfzeile. Die Statusleiste zählt dann nur die sichtbaren Tiere.</t>
        </is>
      </c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</row>
    <row r="11" ht="6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</row>
    <row r="12">
      <c r="A12" s="55" t="inlineStr">
        <is>
          <t>DEINE EINGABEN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56" t="inlineStr">
        <is>
          <t>RECHNET AUTOMATISCH</t>
        </is>
      </c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</row>
    <row r="13" ht="42" customHeight="1">
      <c r="A13" s="57" t="inlineStr">
        <is>
          <t>ID</t>
        </is>
      </c>
      <c r="B13" s="57" t="inlineStr">
        <is>
          <t>Name</t>
        </is>
      </c>
      <c r="C13" s="57" t="inlineStr">
        <is>
          <t>Gattung</t>
        </is>
      </c>
      <c r="D13" s="57" t="inlineStr">
        <is>
          <t>Art</t>
        </is>
      </c>
      <c r="E13" s="57" t="inlineStr">
        <is>
          <t>Lebensweise</t>
        </is>
      </c>
      <c r="F13" s="57" t="inlineStr">
        <is>
          <t>Geschlecht</t>
        </is>
      </c>
      <c r="G13" s="57" t="inlineStr">
        <is>
          <t>Geschlecht bestimmt per</t>
        </is>
      </c>
      <c r="H13" s="57" t="inlineStr">
        <is>
          <t>Entwicklungsstand</t>
        </is>
      </c>
      <c r="I13" s="57" t="inlineStr">
        <is>
          <t>Größe bei Kauf (cm)</t>
        </is>
      </c>
      <c r="J13" s="57" t="inlineStr">
        <is>
          <t>Kaufdatum</t>
        </is>
      </c>
      <c r="K13" s="57" t="inlineStr">
        <is>
          <t>Gekauft bei</t>
        </is>
      </c>
      <c r="L13" s="57" t="inlineStr">
        <is>
          <t>Preis</t>
        </is>
      </c>
      <c r="M13" s="57" t="inlineStr">
        <is>
          <t>Herkunft</t>
        </is>
      </c>
      <c r="N13" s="57" t="inlineStr">
        <is>
          <t>CITES / meldepflichtig</t>
        </is>
      </c>
      <c r="O13" s="57" t="inlineStr">
        <is>
          <t>Nachweis vorhanden</t>
        </is>
      </c>
      <c r="P13" s="57" t="inlineStr">
        <is>
          <t>Terrarium</t>
        </is>
      </c>
      <c r="Q13" s="57" t="inlineStr">
        <is>
          <t>Notizen</t>
        </is>
      </c>
      <c r="R13" s="58" t="inlineStr">
        <is>
          <t>Wissenschaftlicher Name</t>
        </is>
      </c>
      <c r="S13" s="58" t="inlineStr">
        <is>
          <t>Letzte Häutung</t>
        </is>
      </c>
      <c r="T13" s="58" t="inlineStr">
        <is>
          <t>Häutungen gesamt</t>
        </is>
      </c>
      <c r="U13" s="58" t="inlineStr">
        <is>
          <t>Ø Abstand letzte 3 (Monate)</t>
        </is>
      </c>
      <c r="V13" s="58" t="inlineStr">
        <is>
          <t>Tage seit Häutung</t>
        </is>
      </c>
      <c r="W13" s="58" t="inlineStr">
        <is>
          <t>Nächste Häutung ca.</t>
        </is>
      </c>
      <c r="X13" s="58" t="inlineStr">
        <is>
          <t>Größe aktuell (cm)</t>
        </is>
      </c>
      <c r="Y13" s="58" t="inlineStr">
        <is>
          <t>Letzte Fütterung (angenommen)</t>
        </is>
      </c>
      <c r="Z13" s="58" t="inlineStr">
        <is>
          <t>Tage ohne Futter</t>
        </is>
      </c>
      <c r="AA13" s="58" t="inlineStr">
        <is>
          <t>Hinweis</t>
        </is>
      </c>
      <c r="AB13" s="59" t="inlineStr">
        <is>
          <t>Sortierschlüssel</t>
        </is>
      </c>
      <c r="AC13" s="59" t="inlineStr">
        <is>
          <t>Sichtbar</t>
        </is>
      </c>
    </row>
    <row r="14" ht="20" customHeight="1">
      <c r="A14" s="60" t="inlineStr">
        <is>
          <t>T001</t>
        </is>
      </c>
      <c r="B14" s="61" t="inlineStr">
        <is>
          <t>Ronja</t>
        </is>
      </c>
      <c r="C14" s="61" t="inlineStr">
        <is>
          <t>Brachypelma</t>
        </is>
      </c>
      <c r="D14" s="61" t="inlineStr">
        <is>
          <t>hamorii</t>
        </is>
      </c>
      <c r="E14" s="60" t="inlineStr">
        <is>
          <t>Bodenbewohnend</t>
        </is>
      </c>
      <c r="F14" s="60" t="inlineStr">
        <is>
          <t>weiblich</t>
        </is>
      </c>
      <c r="G14" s="60" t="inlineStr">
        <is>
          <t>Exuvie</t>
        </is>
      </c>
      <c r="H14" s="60" t="inlineStr">
        <is>
          <t>Adult</t>
        </is>
      </c>
      <c r="I14" s="62" t="n">
        <v>5.5</v>
      </c>
      <c r="J14" s="63" t="n">
        <v>45031</v>
      </c>
      <c r="K14" s="61" t="inlineStr">
        <is>
          <t>Börse</t>
        </is>
      </c>
      <c r="L14" s="64" t="n">
        <v>45</v>
      </c>
      <c r="M14" s="60" t="inlineStr">
        <is>
          <t>Nachzucht</t>
        </is>
      </c>
      <c r="N14" s="60" t="inlineStr">
        <is>
          <t>Ja</t>
        </is>
      </c>
      <c r="O14" s="60" t="inlineStr">
        <is>
          <t>Ja</t>
        </is>
      </c>
      <c r="P14" s="61" t="inlineStr">
        <is>
          <t>R1-01</t>
        </is>
      </c>
      <c r="Q14" s="61" t="inlineStr">
        <is>
          <t>Sehr ruhig, bombardiert selten</t>
        </is>
      </c>
      <c r="R14" s="65">
        <f>IF(A14="","",TRIM(C14&amp;" "&amp;D14))</f>
        <v/>
      </c>
      <c r="S14" s="66">
        <f>IF(A14="","",IF(COUNTIFS('Häutungen'!$A$7:$A$1006,A14,'Häutungen'!$C$7:$C$1006,"&gt;0")=0,"",_xlfn.MAXIFS('Häutungen'!$C$7:$C$1006,'Häutungen'!$A$7:$A$1006,A14)))</f>
        <v/>
      </c>
      <c r="T14" s="67">
        <f>IF(A14="","",COUNTIFS('Häutungen'!$A$7:$A$1006,A14,'Häutungen'!$C$7:$C$1006,"&gt;0"))</f>
        <v/>
      </c>
      <c r="U14" s="68">
        <f>IF(A14="","",IF(T14&lt;2,"",IFERROR(AVERAGEIFS('Häutungen'!$J$7:$J$1006,'Häutungen'!$A$7:$A$1006,A14,'Häutungen'!$K$7:$K$1006,"&lt;3",'Häutungen'!$I$7:$I$1006,"&gt;0"),"")))</f>
        <v/>
      </c>
      <c r="V14" s="67">
        <f>IF(S14="","",TODAY()-S14)</f>
        <v/>
      </c>
      <c r="W14" s="66">
        <f>IF(OR(U14="",AND(F14="männlich",H14="Adult")),"",S14+ROUND(U14*TpM,0))</f>
        <v/>
      </c>
      <c r="X14" s="68">
        <f>IF(A14="","",IF(S14="",IF(I14="","",I14),IF(SUMIFS('Häutungen'!$D$7:$D$1006,'Häutungen'!$A$7:$A$1006,A14,'Häutungen'!$C$7:$C$1006,S14)&gt;0,SUMIFS('Häutungen'!$D$7:$D$1006,'Häutungen'!$A$7:$A$1006,A14,'Häutungen'!$C$7:$C$1006,S14),IF(I14="","",I14))))</f>
        <v/>
      </c>
      <c r="Y14" s="66">
        <f>IF(A14="","",IF(COUNTIFS('Fütterung'!$A$7:$A$2006,A14,'Fütterung'!$E$7:$E$2006,"Ja")=0,"",_xlfn.MAXIFS('Fütterung'!$C$7:$C$2006,'Fütterung'!$A$7:$A$2006,A14,'Fütterung'!$E$7:$E$2006,"Ja")))</f>
        <v/>
      </c>
      <c r="Z14" s="67">
        <f>IF(Y14="","",TODAY()-Y14)</f>
        <v/>
      </c>
      <c r="AA14" s="65">
        <f>IF(A14="","",IF(AND(F14="männlich",H14="Adult"),"Adultes Männchen",IF(AND(Z14&lt;&gt;"",N(Z14)&gt;=FutterGrenze),"Frisst nicht",IF(U14="","Zu wenig Daten",IF(V14&gt;U14*TpM*FaktorUeber,"Überfällig",IF(V14&gt;U14*TpM*FaktorBald,"Fällig","Im Plan"))))))</f>
        <v/>
      </c>
      <c r="AB14" s="69">
        <f>IF(AND(AC14=1,W14&lt;&gt;""),N(W14)+ROW()/100000,"")</f>
        <v/>
      </c>
      <c r="AC14" s="69">
        <f>IF(A14="","",IF(SUBTOTAL(103,A14)=1,1,0))</f>
        <v/>
      </c>
    </row>
    <row r="15" ht="20" customHeight="1">
      <c r="A15" s="60" t="inlineStr">
        <is>
          <t>T002</t>
        </is>
      </c>
      <c r="B15" s="61" t="inlineStr">
        <is>
          <t>Blue</t>
        </is>
      </c>
      <c r="C15" s="61" t="inlineStr">
        <is>
          <t>Chromatopelma</t>
        </is>
      </c>
      <c r="D15" s="61" t="inlineStr">
        <is>
          <t>cyaneopubescens</t>
        </is>
      </c>
      <c r="E15" s="60" t="inlineStr">
        <is>
          <t>Bodenbewohnend</t>
        </is>
      </c>
      <c r="F15" s="60" t="inlineStr">
        <is>
          <t>weiblich</t>
        </is>
      </c>
      <c r="G15" s="60" t="inlineStr">
        <is>
          <t>Exuvie</t>
        </is>
      </c>
      <c r="H15" s="60" t="inlineStr">
        <is>
          <t>Juvenil</t>
        </is>
      </c>
      <c r="I15" s="62" t="n">
        <v>2</v>
      </c>
      <c r="J15" s="63" t="n">
        <v>45724</v>
      </c>
      <c r="K15" s="61" t="inlineStr">
        <is>
          <t>Online-Shop</t>
        </is>
      </c>
      <c r="L15" s="64" t="n">
        <v>25</v>
      </c>
      <c r="M15" s="60" t="inlineStr">
        <is>
          <t>Nachzucht</t>
        </is>
      </c>
      <c r="N15" s="60" t="inlineStr">
        <is>
          <t>Nein</t>
        </is>
      </c>
      <c r="O15" s="60" t="n"/>
      <c r="P15" s="61" t="inlineStr">
        <is>
          <t>R1-02</t>
        </is>
      </c>
      <c r="Q15" s="61" t="inlineStr">
        <is>
          <t>Spinnt das ganze Terrarium ein</t>
        </is>
      </c>
      <c r="R15" s="65">
        <f>IF(A15="","",TRIM(C15&amp;" "&amp;D15))</f>
        <v/>
      </c>
      <c r="S15" s="66">
        <f>IF(A15="","",IF(COUNTIFS('Häutungen'!$A$7:$A$1006,A15,'Häutungen'!$C$7:$C$1006,"&gt;0")=0,"",_xlfn.MAXIFS('Häutungen'!$C$7:$C$1006,'Häutungen'!$A$7:$A$1006,A15)))</f>
        <v/>
      </c>
      <c r="T15" s="67">
        <f>IF(A15="","",COUNTIFS('Häutungen'!$A$7:$A$1006,A15,'Häutungen'!$C$7:$C$1006,"&gt;0"))</f>
        <v/>
      </c>
      <c r="U15" s="68">
        <f>IF(A15="","",IF(T15&lt;2,"",IFERROR(AVERAGEIFS('Häutungen'!$J$7:$J$1006,'Häutungen'!$A$7:$A$1006,A15,'Häutungen'!$K$7:$K$1006,"&lt;3",'Häutungen'!$I$7:$I$1006,"&gt;0"),"")))</f>
        <v/>
      </c>
      <c r="V15" s="67">
        <f>IF(S15="","",TODAY()-S15)</f>
        <v/>
      </c>
      <c r="W15" s="66">
        <f>IF(OR(U15="",AND(F15="männlich",H15="Adult")),"",S15+ROUND(U15*TpM,0))</f>
        <v/>
      </c>
      <c r="X15" s="68">
        <f>IF(A15="","",IF(S15="",IF(I15="","",I15),IF(SUMIFS('Häutungen'!$D$7:$D$1006,'Häutungen'!$A$7:$A$1006,A15,'Häutungen'!$C$7:$C$1006,S15)&gt;0,SUMIFS('Häutungen'!$D$7:$D$1006,'Häutungen'!$A$7:$A$1006,A15,'Häutungen'!$C$7:$C$1006,S15),IF(I15="","",I15))))</f>
        <v/>
      </c>
      <c r="Y15" s="66">
        <f>IF(A15="","",IF(COUNTIFS('Fütterung'!$A$7:$A$2006,A15,'Fütterung'!$E$7:$E$2006,"Ja")=0,"",_xlfn.MAXIFS('Fütterung'!$C$7:$C$2006,'Fütterung'!$A$7:$A$2006,A15,'Fütterung'!$E$7:$E$2006,"Ja")))</f>
        <v/>
      </c>
      <c r="Z15" s="67">
        <f>IF(Y15="","",TODAY()-Y15)</f>
        <v/>
      </c>
      <c r="AA15" s="65">
        <f>IF(A15="","",IF(AND(F15="männlich",H15="Adult"),"Adultes Männchen",IF(AND(Z15&lt;&gt;"",N(Z15)&gt;=FutterGrenze),"Frisst nicht",IF(U15="","Zu wenig Daten",IF(V15&gt;U15*TpM*FaktorUeber,"Überfällig",IF(V15&gt;U15*TpM*FaktorBald,"Fällig","Im Plan"))))))</f>
        <v/>
      </c>
      <c r="AB15" s="69">
        <f>IF(AND(AC15=1,W15&lt;&gt;""),N(W15)+ROW()/100000,"")</f>
        <v/>
      </c>
      <c r="AC15" s="69">
        <f>IF(A15="","",IF(SUBTOTAL(103,A15)=1,1,0))</f>
        <v/>
      </c>
    </row>
    <row r="16" ht="20" customHeight="1">
      <c r="A16" s="60" t="inlineStr">
        <is>
          <t>T003</t>
        </is>
      </c>
      <c r="B16" s="61" t="inlineStr">
        <is>
          <t>Kalle</t>
        </is>
      </c>
      <c r="C16" s="61" t="inlineStr">
        <is>
          <t>Tliltocatl</t>
        </is>
      </c>
      <c r="D16" s="61" t="inlineStr">
        <is>
          <t>albopilosus</t>
        </is>
      </c>
      <c r="E16" s="60" t="inlineStr">
        <is>
          <t>Bodenbewohnend</t>
        </is>
      </c>
      <c r="F16" s="60" t="inlineStr">
        <is>
          <t>männlich</t>
        </is>
      </c>
      <c r="G16" s="60" t="inlineStr">
        <is>
          <t>Exuvie</t>
        </is>
      </c>
      <c r="H16" s="60" t="inlineStr">
        <is>
          <t>Adult</t>
        </is>
      </c>
      <c r="I16" s="62" t="n">
        <v>4.5</v>
      </c>
      <c r="J16" s="63" t="n">
        <v>45332</v>
      </c>
      <c r="K16" s="61" t="inlineStr">
        <is>
          <t>Züchter privat</t>
        </is>
      </c>
      <c r="L16" s="64" t="n">
        <v>15</v>
      </c>
      <c r="M16" s="60" t="inlineStr">
        <is>
          <t>Nachzucht</t>
        </is>
      </c>
      <c r="N16" s="60" t="inlineStr">
        <is>
          <t>Nein</t>
        </is>
      </c>
      <c r="O16" s="60" t="n"/>
      <c r="P16" s="61" t="inlineStr">
        <is>
          <t>R1-03</t>
        </is>
      </c>
      <c r="Q16" s="61" t="inlineStr">
        <is>
          <t>Reifehäutung im Mai 2026</t>
        </is>
      </c>
      <c r="R16" s="65">
        <f>IF(A16="","",TRIM(C16&amp;" "&amp;D16))</f>
        <v/>
      </c>
      <c r="S16" s="66">
        <f>IF(A16="","",IF(COUNTIFS('Häutungen'!$A$7:$A$1006,A16,'Häutungen'!$C$7:$C$1006,"&gt;0")=0,"",_xlfn.MAXIFS('Häutungen'!$C$7:$C$1006,'Häutungen'!$A$7:$A$1006,A16)))</f>
        <v/>
      </c>
      <c r="T16" s="67">
        <f>IF(A16="","",COUNTIFS('Häutungen'!$A$7:$A$1006,A16,'Häutungen'!$C$7:$C$1006,"&gt;0"))</f>
        <v/>
      </c>
      <c r="U16" s="68">
        <f>IF(A16="","",IF(T16&lt;2,"",IFERROR(AVERAGEIFS('Häutungen'!$J$7:$J$1006,'Häutungen'!$A$7:$A$1006,A16,'Häutungen'!$K$7:$K$1006,"&lt;3",'Häutungen'!$I$7:$I$1006,"&gt;0"),"")))</f>
        <v/>
      </c>
      <c r="V16" s="67">
        <f>IF(S16="","",TODAY()-S16)</f>
        <v/>
      </c>
      <c r="W16" s="66">
        <f>IF(OR(U16="",AND(F16="männlich",H16="Adult")),"",S16+ROUND(U16*TpM,0))</f>
        <v/>
      </c>
      <c r="X16" s="68">
        <f>IF(A16="","",IF(S16="",IF(I16="","",I16),IF(SUMIFS('Häutungen'!$D$7:$D$1006,'Häutungen'!$A$7:$A$1006,A16,'Häutungen'!$C$7:$C$1006,S16)&gt;0,SUMIFS('Häutungen'!$D$7:$D$1006,'Häutungen'!$A$7:$A$1006,A16,'Häutungen'!$C$7:$C$1006,S16),IF(I16="","",I16))))</f>
        <v/>
      </c>
      <c r="Y16" s="66">
        <f>IF(A16="","",IF(COUNTIFS('Fütterung'!$A$7:$A$2006,A16,'Fütterung'!$E$7:$E$2006,"Ja")=0,"",_xlfn.MAXIFS('Fütterung'!$C$7:$C$2006,'Fütterung'!$A$7:$A$2006,A16,'Fütterung'!$E$7:$E$2006,"Ja")))</f>
        <v/>
      </c>
      <c r="Z16" s="67">
        <f>IF(Y16="","",TODAY()-Y16)</f>
        <v/>
      </c>
      <c r="AA16" s="65">
        <f>IF(A16="","",IF(AND(F16="männlich",H16="Adult"),"Adultes Männchen",IF(AND(Z16&lt;&gt;"",N(Z16)&gt;=FutterGrenze),"Frisst nicht",IF(U16="","Zu wenig Daten",IF(V16&gt;U16*TpM*FaktorUeber,"Überfällig",IF(V16&gt;U16*TpM*FaktorBald,"Fällig","Im Plan"))))))</f>
        <v/>
      </c>
      <c r="AB16" s="69">
        <f>IF(AND(AC16=1,W16&lt;&gt;""),N(W16)+ROW()/100000,"")</f>
        <v/>
      </c>
      <c r="AC16" s="69">
        <f>IF(A16="","",IF(SUBTOTAL(103,A16)=1,1,0))</f>
        <v/>
      </c>
    </row>
    <row r="17" ht="20" customHeight="1">
      <c r="A17" s="60" t="inlineStr">
        <is>
          <t>T004</t>
        </is>
      </c>
      <c r="B17" s="61" t="inlineStr">
        <is>
          <t>Mini</t>
        </is>
      </c>
      <c r="C17" s="61" t="inlineStr">
        <is>
          <t>Caribena</t>
        </is>
      </c>
      <c r="D17" s="61" t="inlineStr">
        <is>
          <t>versicolor</t>
        </is>
      </c>
      <c r="E17" s="60" t="inlineStr">
        <is>
          <t>Baumbewohnend</t>
        </is>
      </c>
      <c r="F17" s="60" t="inlineStr">
        <is>
          <t>unbestimmt</t>
        </is>
      </c>
      <c r="G17" s="60" t="inlineStr">
        <is>
          <t>Noch offen</t>
        </is>
      </c>
      <c r="H17" s="60" t="inlineStr">
        <is>
          <t>Sling</t>
        </is>
      </c>
      <c r="I17" s="62" t="n">
        <v>1</v>
      </c>
      <c r="J17" s="63" t="n">
        <v>46144</v>
      </c>
      <c r="K17" s="61" t="inlineStr">
        <is>
          <t>Börse</t>
        </is>
      </c>
      <c r="L17" s="64" t="n">
        <v>20</v>
      </c>
      <c r="M17" s="60" t="inlineStr">
        <is>
          <t>Nachzucht</t>
        </is>
      </c>
      <c r="N17" s="60" t="inlineStr">
        <is>
          <t>Nein</t>
        </is>
      </c>
      <c r="O17" s="60" t="n"/>
      <c r="P17" s="61" t="inlineStr">
        <is>
          <t>R2-01</t>
        </is>
      </c>
      <c r="Q17" s="61" t="n"/>
      <c r="R17" s="65">
        <f>IF(A17="","",TRIM(C17&amp;" "&amp;D17))</f>
        <v/>
      </c>
      <c r="S17" s="66">
        <f>IF(A17="","",IF(COUNTIFS('Häutungen'!$A$7:$A$1006,A17,'Häutungen'!$C$7:$C$1006,"&gt;0")=0,"",_xlfn.MAXIFS('Häutungen'!$C$7:$C$1006,'Häutungen'!$A$7:$A$1006,A17)))</f>
        <v/>
      </c>
      <c r="T17" s="67">
        <f>IF(A17="","",COUNTIFS('Häutungen'!$A$7:$A$1006,A17,'Häutungen'!$C$7:$C$1006,"&gt;0"))</f>
        <v/>
      </c>
      <c r="U17" s="68">
        <f>IF(A17="","",IF(T17&lt;2,"",IFERROR(AVERAGEIFS('Häutungen'!$J$7:$J$1006,'Häutungen'!$A$7:$A$1006,A17,'Häutungen'!$K$7:$K$1006,"&lt;3",'Häutungen'!$I$7:$I$1006,"&gt;0"),"")))</f>
        <v/>
      </c>
      <c r="V17" s="67">
        <f>IF(S17="","",TODAY()-S17)</f>
        <v/>
      </c>
      <c r="W17" s="66">
        <f>IF(OR(U17="",AND(F17="männlich",H17="Adult")),"",S17+ROUND(U17*TpM,0))</f>
        <v/>
      </c>
      <c r="X17" s="68">
        <f>IF(A17="","",IF(S17="",IF(I17="","",I17),IF(SUMIFS('Häutungen'!$D$7:$D$1006,'Häutungen'!$A$7:$A$1006,A17,'Häutungen'!$C$7:$C$1006,S17)&gt;0,SUMIFS('Häutungen'!$D$7:$D$1006,'Häutungen'!$A$7:$A$1006,A17,'Häutungen'!$C$7:$C$1006,S17),IF(I17="","",I17))))</f>
        <v/>
      </c>
      <c r="Y17" s="66">
        <f>IF(A17="","",IF(COUNTIFS('Fütterung'!$A$7:$A$2006,A17,'Fütterung'!$E$7:$E$2006,"Ja")=0,"",_xlfn.MAXIFS('Fütterung'!$C$7:$C$2006,'Fütterung'!$A$7:$A$2006,A17,'Fütterung'!$E$7:$E$2006,"Ja")))</f>
        <v/>
      </c>
      <c r="Z17" s="67">
        <f>IF(Y17="","",TODAY()-Y17)</f>
        <v/>
      </c>
      <c r="AA17" s="65">
        <f>IF(A17="","",IF(AND(F17="männlich",H17="Adult"),"Adultes Männchen",IF(AND(Z17&lt;&gt;"",N(Z17)&gt;=FutterGrenze),"Frisst nicht",IF(U17="","Zu wenig Daten",IF(V17&gt;U17*TpM*FaktorUeber,"Überfällig",IF(V17&gt;U17*TpM*FaktorBald,"Fällig","Im Plan"))))))</f>
        <v/>
      </c>
      <c r="AB17" s="69">
        <f>IF(AND(AC17=1,W17&lt;&gt;""),N(W17)+ROW()/100000,"")</f>
        <v/>
      </c>
      <c r="AC17" s="69">
        <f>IF(A17="","",IF(SUBTOTAL(103,A17)=1,1,0))</f>
        <v/>
      </c>
    </row>
    <row r="18" ht="20" customHeight="1">
      <c r="A18" s="60" t="inlineStr">
        <is>
          <t>T005</t>
        </is>
      </c>
      <c r="B18" s="61" t="inlineStr">
        <is>
          <t>Saphir</t>
        </is>
      </c>
      <c r="C18" s="61" t="inlineStr">
        <is>
          <t>Poecilotheria</t>
        </is>
      </c>
      <c r="D18" s="61" t="inlineStr">
        <is>
          <t>metallica</t>
        </is>
      </c>
      <c r="E18" s="60" t="inlineStr">
        <is>
          <t>Baumbewohnend</t>
        </is>
      </c>
      <c r="F18" s="60" t="inlineStr">
        <is>
          <t>weiblich</t>
        </is>
      </c>
      <c r="G18" s="60" t="inlineStr">
        <is>
          <t>Ventral</t>
        </is>
      </c>
      <c r="H18" s="60" t="inlineStr">
        <is>
          <t>Subadult</t>
        </is>
      </c>
      <c r="I18" s="62" t="n">
        <v>4</v>
      </c>
      <c r="J18" s="63" t="n">
        <v>45556</v>
      </c>
      <c r="K18" s="61" t="inlineStr">
        <is>
          <t>Züchter privat</t>
        </is>
      </c>
      <c r="L18" s="64" t="n">
        <v>60</v>
      </c>
      <c r="M18" s="60" t="inlineStr">
        <is>
          <t>Nachzucht</t>
        </is>
      </c>
      <c r="N18" s="60" t="inlineStr">
        <is>
          <t>Nein</t>
        </is>
      </c>
      <c r="O18" s="60" t="n"/>
      <c r="P18" s="61" t="inlineStr">
        <is>
          <t>R2-02</t>
        </is>
      </c>
      <c r="Q18" s="61" t="inlineStr">
        <is>
          <t>Sehr scheu, sitzt gern hinter der Korkröhre</t>
        </is>
      </c>
      <c r="R18" s="65">
        <f>IF(A18="","",TRIM(C18&amp;" "&amp;D18))</f>
        <v/>
      </c>
      <c r="S18" s="66">
        <f>IF(A18="","",IF(COUNTIFS('Häutungen'!$A$7:$A$1006,A18,'Häutungen'!$C$7:$C$1006,"&gt;0")=0,"",_xlfn.MAXIFS('Häutungen'!$C$7:$C$1006,'Häutungen'!$A$7:$A$1006,A18)))</f>
        <v/>
      </c>
      <c r="T18" s="67">
        <f>IF(A18="","",COUNTIFS('Häutungen'!$A$7:$A$1006,A18,'Häutungen'!$C$7:$C$1006,"&gt;0"))</f>
        <v/>
      </c>
      <c r="U18" s="68">
        <f>IF(A18="","",IF(T18&lt;2,"",IFERROR(AVERAGEIFS('Häutungen'!$J$7:$J$1006,'Häutungen'!$A$7:$A$1006,A18,'Häutungen'!$K$7:$K$1006,"&lt;3",'Häutungen'!$I$7:$I$1006,"&gt;0"),"")))</f>
        <v/>
      </c>
      <c r="V18" s="67">
        <f>IF(S18="","",TODAY()-S18)</f>
        <v/>
      </c>
      <c r="W18" s="66">
        <f>IF(OR(U18="",AND(F18="männlich",H18="Adult")),"",S18+ROUND(U18*TpM,0))</f>
        <v/>
      </c>
      <c r="X18" s="68">
        <f>IF(A18="","",IF(S18="",IF(I18="","",I18),IF(SUMIFS('Häutungen'!$D$7:$D$1006,'Häutungen'!$A$7:$A$1006,A18,'Häutungen'!$C$7:$C$1006,S18)&gt;0,SUMIFS('Häutungen'!$D$7:$D$1006,'Häutungen'!$A$7:$A$1006,A18,'Häutungen'!$C$7:$C$1006,S18),IF(I18="","",I18))))</f>
        <v/>
      </c>
      <c r="Y18" s="66">
        <f>IF(A18="","",IF(COUNTIFS('Fütterung'!$A$7:$A$2006,A18,'Fütterung'!$E$7:$E$2006,"Ja")=0,"",_xlfn.MAXIFS('Fütterung'!$C$7:$C$2006,'Fütterung'!$A$7:$A$2006,A18,'Fütterung'!$E$7:$E$2006,"Ja")))</f>
        <v/>
      </c>
      <c r="Z18" s="67">
        <f>IF(Y18="","",TODAY()-Y18)</f>
        <v/>
      </c>
      <c r="AA18" s="65">
        <f>IF(A18="","",IF(AND(F18="männlich",H18="Adult"),"Adultes Männchen",IF(AND(Z18&lt;&gt;"",N(Z18)&gt;=FutterGrenze),"Frisst nicht",IF(U18="","Zu wenig Daten",IF(V18&gt;U18*TpM*FaktorUeber,"Überfällig",IF(V18&gt;U18*TpM*FaktorBald,"Fällig","Im Plan"))))))</f>
        <v/>
      </c>
      <c r="AB18" s="69">
        <f>IF(AND(AC18=1,W18&lt;&gt;""),N(W18)+ROW()/100000,"")</f>
        <v/>
      </c>
      <c r="AC18" s="69">
        <f>IF(A18="","",IF(SUBTOTAL(103,A18)=1,1,0))</f>
        <v/>
      </c>
    </row>
    <row r="19" ht="20" customHeight="1">
      <c r="A19" s="60" t="inlineStr">
        <is>
          <t>T006</t>
        </is>
      </c>
      <c r="B19" s="61" t="inlineStr">
        <is>
          <t>Rosi</t>
        </is>
      </c>
      <c r="C19" s="61" t="inlineStr">
        <is>
          <t>Grammostola</t>
        </is>
      </c>
      <c r="D19" s="61" t="inlineStr">
        <is>
          <t>pulchra</t>
        </is>
      </c>
      <c r="E19" s="60" t="inlineStr">
        <is>
          <t>Bodenbewohnend</t>
        </is>
      </c>
      <c r="F19" s="60" t="inlineStr">
        <is>
          <t>weiblich</t>
        </is>
      </c>
      <c r="G19" s="60" t="inlineStr">
        <is>
          <t>Exuvie</t>
        </is>
      </c>
      <c r="H19" s="60" t="inlineStr">
        <is>
          <t>Juvenil</t>
        </is>
      </c>
      <c r="I19" s="62" t="n">
        <v>3</v>
      </c>
      <c r="J19" s="63" t="n">
        <v>45444</v>
      </c>
      <c r="K19" s="61" t="inlineStr">
        <is>
          <t>Zoofachhandel</t>
        </is>
      </c>
      <c r="L19" s="64" t="n">
        <v>55</v>
      </c>
      <c r="M19" s="60" t="inlineStr">
        <is>
          <t>Nachzucht</t>
        </is>
      </c>
      <c r="N19" s="60" t="inlineStr">
        <is>
          <t>Nein</t>
        </is>
      </c>
      <c r="O19" s="60" t="n"/>
      <c r="P19" s="61" t="inlineStr">
        <is>
          <t>R1-04</t>
        </is>
      </c>
      <c r="Q19" s="61" t="inlineStr">
        <is>
          <t>Typische Hungerkünstlerin</t>
        </is>
      </c>
      <c r="R19" s="65">
        <f>IF(A19="","",TRIM(C19&amp;" "&amp;D19))</f>
        <v/>
      </c>
      <c r="S19" s="66">
        <f>IF(A19="","",IF(COUNTIFS('Häutungen'!$A$7:$A$1006,A19,'Häutungen'!$C$7:$C$1006,"&gt;0")=0,"",_xlfn.MAXIFS('Häutungen'!$C$7:$C$1006,'Häutungen'!$A$7:$A$1006,A19)))</f>
        <v/>
      </c>
      <c r="T19" s="67">
        <f>IF(A19="","",COUNTIFS('Häutungen'!$A$7:$A$1006,A19,'Häutungen'!$C$7:$C$1006,"&gt;0"))</f>
        <v/>
      </c>
      <c r="U19" s="68">
        <f>IF(A19="","",IF(T19&lt;2,"",IFERROR(AVERAGEIFS('Häutungen'!$J$7:$J$1006,'Häutungen'!$A$7:$A$1006,A19,'Häutungen'!$K$7:$K$1006,"&lt;3",'Häutungen'!$I$7:$I$1006,"&gt;0"),"")))</f>
        <v/>
      </c>
      <c r="V19" s="67">
        <f>IF(S19="","",TODAY()-S19)</f>
        <v/>
      </c>
      <c r="W19" s="66">
        <f>IF(OR(U19="",AND(F19="männlich",H19="Adult")),"",S19+ROUND(U19*TpM,0))</f>
        <v/>
      </c>
      <c r="X19" s="68">
        <f>IF(A19="","",IF(S19="",IF(I19="","",I19),IF(SUMIFS('Häutungen'!$D$7:$D$1006,'Häutungen'!$A$7:$A$1006,A19,'Häutungen'!$C$7:$C$1006,S19)&gt;0,SUMIFS('Häutungen'!$D$7:$D$1006,'Häutungen'!$A$7:$A$1006,A19,'Häutungen'!$C$7:$C$1006,S19),IF(I19="","",I19))))</f>
        <v/>
      </c>
      <c r="Y19" s="66">
        <f>IF(A19="","",IF(COUNTIFS('Fütterung'!$A$7:$A$2006,A19,'Fütterung'!$E$7:$E$2006,"Ja")=0,"",_xlfn.MAXIFS('Fütterung'!$C$7:$C$2006,'Fütterung'!$A$7:$A$2006,A19,'Fütterung'!$E$7:$E$2006,"Ja")))</f>
        <v/>
      </c>
      <c r="Z19" s="67">
        <f>IF(Y19="","",TODAY()-Y19)</f>
        <v/>
      </c>
      <c r="AA19" s="65">
        <f>IF(A19="","",IF(AND(F19="männlich",H19="Adult"),"Adultes Männchen",IF(AND(Z19&lt;&gt;"",N(Z19)&gt;=FutterGrenze),"Frisst nicht",IF(U19="","Zu wenig Daten",IF(V19&gt;U19*TpM*FaktorUeber,"Überfällig",IF(V19&gt;U19*TpM*FaktorBald,"Fällig","Im Plan"))))))</f>
        <v/>
      </c>
      <c r="AB19" s="69">
        <f>IF(AND(AC19=1,W19&lt;&gt;""),N(W19)+ROW()/100000,"")</f>
        <v/>
      </c>
      <c r="AC19" s="69">
        <f>IF(A19="","",IF(SUBTOTAL(103,A19)=1,1,0))</f>
        <v/>
      </c>
    </row>
    <row r="20" ht="20" customHeight="1">
      <c r="A20" s="60" t="n"/>
      <c r="B20" s="61" t="n"/>
      <c r="C20" s="61" t="n"/>
      <c r="D20" s="61" t="n"/>
      <c r="E20" s="60" t="n"/>
      <c r="F20" s="60" t="n"/>
      <c r="G20" s="60" t="n"/>
      <c r="H20" s="60" t="n"/>
      <c r="I20" s="62" t="n"/>
      <c r="J20" s="63" t="n"/>
      <c r="K20" s="61" t="n"/>
      <c r="L20" s="64" t="n"/>
      <c r="M20" s="60" t="n"/>
      <c r="N20" s="60" t="n"/>
      <c r="O20" s="60" t="n"/>
      <c r="P20" s="61" t="n"/>
      <c r="Q20" s="61" t="n"/>
      <c r="R20" s="65">
        <f>IF(A20="","",TRIM(C20&amp;" "&amp;D20))</f>
        <v/>
      </c>
      <c r="S20" s="66">
        <f>IF(A20="","",IF(COUNTIFS('Häutungen'!$A$7:$A$1006,A20,'Häutungen'!$C$7:$C$1006,"&gt;0")=0,"",_xlfn.MAXIFS('Häutungen'!$C$7:$C$1006,'Häutungen'!$A$7:$A$1006,A20)))</f>
        <v/>
      </c>
      <c r="T20" s="67">
        <f>IF(A20="","",COUNTIFS('Häutungen'!$A$7:$A$1006,A20,'Häutungen'!$C$7:$C$1006,"&gt;0"))</f>
        <v/>
      </c>
      <c r="U20" s="68">
        <f>IF(A20="","",IF(T20&lt;2,"",IFERROR(AVERAGEIFS('Häutungen'!$J$7:$J$1006,'Häutungen'!$A$7:$A$1006,A20,'Häutungen'!$K$7:$K$1006,"&lt;3",'Häutungen'!$I$7:$I$1006,"&gt;0"),"")))</f>
        <v/>
      </c>
      <c r="V20" s="67">
        <f>IF(S20="","",TODAY()-S20)</f>
        <v/>
      </c>
      <c r="W20" s="66">
        <f>IF(OR(U20="",AND(F20="männlich",H20="Adult")),"",S20+ROUND(U20*TpM,0))</f>
        <v/>
      </c>
      <c r="X20" s="68">
        <f>IF(A20="","",IF(S20="",IF(I20="","",I20),IF(SUMIFS('Häutungen'!$D$7:$D$1006,'Häutungen'!$A$7:$A$1006,A20,'Häutungen'!$C$7:$C$1006,S20)&gt;0,SUMIFS('Häutungen'!$D$7:$D$1006,'Häutungen'!$A$7:$A$1006,A20,'Häutungen'!$C$7:$C$1006,S20),IF(I20="","",I20))))</f>
        <v/>
      </c>
      <c r="Y20" s="66">
        <f>IF(A20="","",IF(COUNTIFS('Fütterung'!$A$7:$A$2006,A20,'Fütterung'!$E$7:$E$2006,"Ja")=0,"",_xlfn.MAXIFS('Fütterung'!$C$7:$C$2006,'Fütterung'!$A$7:$A$2006,A20,'Fütterung'!$E$7:$E$2006,"Ja")))</f>
        <v/>
      </c>
      <c r="Z20" s="67">
        <f>IF(Y20="","",TODAY()-Y20)</f>
        <v/>
      </c>
      <c r="AA20" s="65">
        <f>IF(A20="","",IF(AND(F20="männlich",H20="Adult"),"Adultes Männchen",IF(AND(Z20&lt;&gt;"",N(Z20)&gt;=FutterGrenze),"Frisst nicht",IF(U20="","Zu wenig Daten",IF(V20&gt;U20*TpM*FaktorUeber,"Überfällig",IF(V20&gt;U20*TpM*FaktorBald,"Fällig","Im Plan"))))))</f>
        <v/>
      </c>
      <c r="AB20" s="69">
        <f>IF(AND(AC20=1,W20&lt;&gt;""),N(W20)+ROW()/100000,"")</f>
        <v/>
      </c>
      <c r="AC20" s="69">
        <f>IF(A20="","",IF(SUBTOTAL(103,A20)=1,1,0))</f>
        <v/>
      </c>
    </row>
    <row r="21" ht="20" customHeight="1">
      <c r="A21" s="60" t="n"/>
      <c r="B21" s="61" t="n"/>
      <c r="C21" s="61" t="n"/>
      <c r="D21" s="61" t="n"/>
      <c r="E21" s="60" t="n"/>
      <c r="F21" s="60" t="n"/>
      <c r="G21" s="60" t="n"/>
      <c r="H21" s="60" t="n"/>
      <c r="I21" s="62" t="n"/>
      <c r="J21" s="63" t="n"/>
      <c r="K21" s="61" t="n"/>
      <c r="L21" s="64" t="n"/>
      <c r="M21" s="60" t="n"/>
      <c r="N21" s="60" t="n"/>
      <c r="O21" s="60" t="n"/>
      <c r="P21" s="61" t="n"/>
      <c r="Q21" s="61" t="n"/>
      <c r="R21" s="65">
        <f>IF(A21="","",TRIM(C21&amp;" "&amp;D21))</f>
        <v/>
      </c>
      <c r="S21" s="66">
        <f>IF(A21="","",IF(COUNTIFS('Häutungen'!$A$7:$A$1006,A21,'Häutungen'!$C$7:$C$1006,"&gt;0")=0,"",_xlfn.MAXIFS('Häutungen'!$C$7:$C$1006,'Häutungen'!$A$7:$A$1006,A21)))</f>
        <v/>
      </c>
      <c r="T21" s="67">
        <f>IF(A21="","",COUNTIFS('Häutungen'!$A$7:$A$1006,A21,'Häutungen'!$C$7:$C$1006,"&gt;0"))</f>
        <v/>
      </c>
      <c r="U21" s="68">
        <f>IF(A21="","",IF(T21&lt;2,"",IFERROR(AVERAGEIFS('Häutungen'!$J$7:$J$1006,'Häutungen'!$A$7:$A$1006,A21,'Häutungen'!$K$7:$K$1006,"&lt;3",'Häutungen'!$I$7:$I$1006,"&gt;0"),"")))</f>
        <v/>
      </c>
      <c r="V21" s="67">
        <f>IF(S21="","",TODAY()-S21)</f>
        <v/>
      </c>
      <c r="W21" s="66">
        <f>IF(OR(U21="",AND(F21="männlich",H21="Adult")),"",S21+ROUND(U21*TpM,0))</f>
        <v/>
      </c>
      <c r="X21" s="68">
        <f>IF(A21="","",IF(S21="",IF(I21="","",I21),IF(SUMIFS('Häutungen'!$D$7:$D$1006,'Häutungen'!$A$7:$A$1006,A21,'Häutungen'!$C$7:$C$1006,S21)&gt;0,SUMIFS('Häutungen'!$D$7:$D$1006,'Häutungen'!$A$7:$A$1006,A21,'Häutungen'!$C$7:$C$1006,S21),IF(I21="","",I21))))</f>
        <v/>
      </c>
      <c r="Y21" s="66">
        <f>IF(A21="","",IF(COUNTIFS('Fütterung'!$A$7:$A$2006,A21,'Fütterung'!$E$7:$E$2006,"Ja")=0,"",_xlfn.MAXIFS('Fütterung'!$C$7:$C$2006,'Fütterung'!$A$7:$A$2006,A21,'Fütterung'!$E$7:$E$2006,"Ja")))</f>
        <v/>
      </c>
      <c r="Z21" s="67">
        <f>IF(Y21="","",TODAY()-Y21)</f>
        <v/>
      </c>
      <c r="AA21" s="65">
        <f>IF(A21="","",IF(AND(F21="männlich",H21="Adult"),"Adultes Männchen",IF(AND(Z21&lt;&gt;"",N(Z21)&gt;=FutterGrenze),"Frisst nicht",IF(U21="","Zu wenig Daten",IF(V21&gt;U21*TpM*FaktorUeber,"Überfällig",IF(V21&gt;U21*TpM*FaktorBald,"Fällig","Im Plan"))))))</f>
        <v/>
      </c>
      <c r="AB21" s="69">
        <f>IF(AND(AC21=1,W21&lt;&gt;""),N(W21)+ROW()/100000,"")</f>
        <v/>
      </c>
      <c r="AC21" s="69">
        <f>IF(A21="","",IF(SUBTOTAL(103,A21)=1,1,0))</f>
        <v/>
      </c>
    </row>
    <row r="22" ht="20" customHeight="1">
      <c r="A22" s="60" t="n"/>
      <c r="B22" s="61" t="n"/>
      <c r="C22" s="61" t="n"/>
      <c r="D22" s="61" t="n"/>
      <c r="E22" s="60" t="n"/>
      <c r="F22" s="60" t="n"/>
      <c r="G22" s="60" t="n"/>
      <c r="H22" s="60" t="n"/>
      <c r="I22" s="62" t="n"/>
      <c r="J22" s="63" t="n"/>
      <c r="K22" s="61" t="n"/>
      <c r="L22" s="64" t="n"/>
      <c r="M22" s="60" t="n"/>
      <c r="N22" s="60" t="n"/>
      <c r="O22" s="60" t="n"/>
      <c r="P22" s="61" t="n"/>
      <c r="Q22" s="61" t="n"/>
      <c r="R22" s="65">
        <f>IF(A22="","",TRIM(C22&amp;" "&amp;D22))</f>
        <v/>
      </c>
      <c r="S22" s="66">
        <f>IF(A22="","",IF(COUNTIFS('Häutungen'!$A$7:$A$1006,A22,'Häutungen'!$C$7:$C$1006,"&gt;0")=0,"",_xlfn.MAXIFS('Häutungen'!$C$7:$C$1006,'Häutungen'!$A$7:$A$1006,A22)))</f>
        <v/>
      </c>
      <c r="T22" s="67">
        <f>IF(A22="","",COUNTIFS('Häutungen'!$A$7:$A$1006,A22,'Häutungen'!$C$7:$C$1006,"&gt;0"))</f>
        <v/>
      </c>
      <c r="U22" s="68">
        <f>IF(A22="","",IF(T22&lt;2,"",IFERROR(AVERAGEIFS('Häutungen'!$J$7:$J$1006,'Häutungen'!$A$7:$A$1006,A22,'Häutungen'!$K$7:$K$1006,"&lt;3",'Häutungen'!$I$7:$I$1006,"&gt;0"),"")))</f>
        <v/>
      </c>
      <c r="V22" s="67">
        <f>IF(S22="","",TODAY()-S22)</f>
        <v/>
      </c>
      <c r="W22" s="66">
        <f>IF(OR(U22="",AND(F22="männlich",H22="Adult")),"",S22+ROUND(U22*TpM,0))</f>
        <v/>
      </c>
      <c r="X22" s="68">
        <f>IF(A22="","",IF(S22="",IF(I22="","",I22),IF(SUMIFS('Häutungen'!$D$7:$D$1006,'Häutungen'!$A$7:$A$1006,A22,'Häutungen'!$C$7:$C$1006,S22)&gt;0,SUMIFS('Häutungen'!$D$7:$D$1006,'Häutungen'!$A$7:$A$1006,A22,'Häutungen'!$C$7:$C$1006,S22),IF(I22="","",I22))))</f>
        <v/>
      </c>
      <c r="Y22" s="66">
        <f>IF(A22="","",IF(COUNTIFS('Fütterung'!$A$7:$A$2006,A22,'Fütterung'!$E$7:$E$2006,"Ja")=0,"",_xlfn.MAXIFS('Fütterung'!$C$7:$C$2006,'Fütterung'!$A$7:$A$2006,A22,'Fütterung'!$E$7:$E$2006,"Ja")))</f>
        <v/>
      </c>
      <c r="Z22" s="67">
        <f>IF(Y22="","",TODAY()-Y22)</f>
        <v/>
      </c>
      <c r="AA22" s="65">
        <f>IF(A22="","",IF(AND(F22="männlich",H22="Adult"),"Adultes Männchen",IF(AND(Z22&lt;&gt;"",N(Z22)&gt;=FutterGrenze),"Frisst nicht",IF(U22="","Zu wenig Daten",IF(V22&gt;U22*TpM*FaktorUeber,"Überfällig",IF(V22&gt;U22*TpM*FaktorBald,"Fällig","Im Plan"))))))</f>
        <v/>
      </c>
      <c r="AB22" s="69">
        <f>IF(AND(AC22=1,W22&lt;&gt;""),N(W22)+ROW()/100000,"")</f>
        <v/>
      </c>
      <c r="AC22" s="69">
        <f>IF(A22="","",IF(SUBTOTAL(103,A22)=1,1,0))</f>
        <v/>
      </c>
    </row>
    <row r="23" ht="20" customHeight="1">
      <c r="A23" s="60" t="n"/>
      <c r="B23" s="61" t="n"/>
      <c r="C23" s="61" t="n"/>
      <c r="D23" s="61" t="n"/>
      <c r="E23" s="60" t="n"/>
      <c r="F23" s="60" t="n"/>
      <c r="G23" s="60" t="n"/>
      <c r="H23" s="60" t="n"/>
      <c r="I23" s="62" t="n"/>
      <c r="J23" s="63" t="n"/>
      <c r="K23" s="61" t="n"/>
      <c r="L23" s="64" t="n"/>
      <c r="M23" s="60" t="n"/>
      <c r="N23" s="60" t="n"/>
      <c r="O23" s="60" t="n"/>
      <c r="P23" s="61" t="n"/>
      <c r="Q23" s="61" t="n"/>
      <c r="R23" s="65">
        <f>IF(A23="","",TRIM(C23&amp;" "&amp;D23))</f>
        <v/>
      </c>
      <c r="S23" s="66">
        <f>IF(A23="","",IF(COUNTIFS('Häutungen'!$A$7:$A$1006,A23,'Häutungen'!$C$7:$C$1006,"&gt;0")=0,"",_xlfn.MAXIFS('Häutungen'!$C$7:$C$1006,'Häutungen'!$A$7:$A$1006,A23)))</f>
        <v/>
      </c>
      <c r="T23" s="67">
        <f>IF(A23="","",COUNTIFS('Häutungen'!$A$7:$A$1006,A23,'Häutungen'!$C$7:$C$1006,"&gt;0"))</f>
        <v/>
      </c>
      <c r="U23" s="68">
        <f>IF(A23="","",IF(T23&lt;2,"",IFERROR(AVERAGEIFS('Häutungen'!$J$7:$J$1006,'Häutungen'!$A$7:$A$1006,A23,'Häutungen'!$K$7:$K$1006,"&lt;3",'Häutungen'!$I$7:$I$1006,"&gt;0"),"")))</f>
        <v/>
      </c>
      <c r="V23" s="67">
        <f>IF(S23="","",TODAY()-S23)</f>
        <v/>
      </c>
      <c r="W23" s="66">
        <f>IF(OR(U23="",AND(F23="männlich",H23="Adult")),"",S23+ROUND(U23*TpM,0))</f>
        <v/>
      </c>
      <c r="X23" s="68">
        <f>IF(A23="","",IF(S23="",IF(I23="","",I23),IF(SUMIFS('Häutungen'!$D$7:$D$1006,'Häutungen'!$A$7:$A$1006,A23,'Häutungen'!$C$7:$C$1006,S23)&gt;0,SUMIFS('Häutungen'!$D$7:$D$1006,'Häutungen'!$A$7:$A$1006,A23,'Häutungen'!$C$7:$C$1006,S23),IF(I23="","",I23))))</f>
        <v/>
      </c>
      <c r="Y23" s="66">
        <f>IF(A23="","",IF(COUNTIFS('Fütterung'!$A$7:$A$2006,A23,'Fütterung'!$E$7:$E$2006,"Ja")=0,"",_xlfn.MAXIFS('Fütterung'!$C$7:$C$2006,'Fütterung'!$A$7:$A$2006,A23,'Fütterung'!$E$7:$E$2006,"Ja")))</f>
        <v/>
      </c>
      <c r="Z23" s="67">
        <f>IF(Y23="","",TODAY()-Y23)</f>
        <v/>
      </c>
      <c r="AA23" s="65">
        <f>IF(A23="","",IF(AND(F23="männlich",H23="Adult"),"Adultes Männchen",IF(AND(Z23&lt;&gt;"",N(Z23)&gt;=FutterGrenze),"Frisst nicht",IF(U23="","Zu wenig Daten",IF(V23&gt;U23*TpM*FaktorUeber,"Überfällig",IF(V23&gt;U23*TpM*FaktorBald,"Fällig","Im Plan"))))))</f>
        <v/>
      </c>
      <c r="AB23" s="69">
        <f>IF(AND(AC23=1,W23&lt;&gt;""),N(W23)+ROW()/100000,"")</f>
        <v/>
      </c>
      <c r="AC23" s="69">
        <f>IF(A23="","",IF(SUBTOTAL(103,A23)=1,1,0))</f>
        <v/>
      </c>
    </row>
    <row r="24" ht="20" customHeight="1">
      <c r="A24" s="60" t="n"/>
      <c r="B24" s="61" t="n"/>
      <c r="C24" s="61" t="n"/>
      <c r="D24" s="61" t="n"/>
      <c r="E24" s="60" t="n"/>
      <c r="F24" s="60" t="n"/>
      <c r="G24" s="60" t="n"/>
      <c r="H24" s="60" t="n"/>
      <c r="I24" s="62" t="n"/>
      <c r="J24" s="63" t="n"/>
      <c r="K24" s="61" t="n"/>
      <c r="L24" s="64" t="n"/>
      <c r="M24" s="60" t="n"/>
      <c r="N24" s="60" t="n"/>
      <c r="O24" s="60" t="n"/>
      <c r="P24" s="61" t="n"/>
      <c r="Q24" s="61" t="n"/>
      <c r="R24" s="65">
        <f>IF(A24="","",TRIM(C24&amp;" "&amp;D24))</f>
        <v/>
      </c>
      <c r="S24" s="66">
        <f>IF(A24="","",IF(COUNTIFS('Häutungen'!$A$7:$A$1006,A24,'Häutungen'!$C$7:$C$1006,"&gt;0")=0,"",_xlfn.MAXIFS('Häutungen'!$C$7:$C$1006,'Häutungen'!$A$7:$A$1006,A24)))</f>
        <v/>
      </c>
      <c r="T24" s="67">
        <f>IF(A24="","",COUNTIFS('Häutungen'!$A$7:$A$1006,A24,'Häutungen'!$C$7:$C$1006,"&gt;0"))</f>
        <v/>
      </c>
      <c r="U24" s="68">
        <f>IF(A24="","",IF(T24&lt;2,"",IFERROR(AVERAGEIFS('Häutungen'!$J$7:$J$1006,'Häutungen'!$A$7:$A$1006,A24,'Häutungen'!$K$7:$K$1006,"&lt;3",'Häutungen'!$I$7:$I$1006,"&gt;0"),"")))</f>
        <v/>
      </c>
      <c r="V24" s="67">
        <f>IF(S24="","",TODAY()-S24)</f>
        <v/>
      </c>
      <c r="W24" s="66">
        <f>IF(OR(U24="",AND(F24="männlich",H24="Adult")),"",S24+ROUND(U24*TpM,0))</f>
        <v/>
      </c>
      <c r="X24" s="68">
        <f>IF(A24="","",IF(S24="",IF(I24="","",I24),IF(SUMIFS('Häutungen'!$D$7:$D$1006,'Häutungen'!$A$7:$A$1006,A24,'Häutungen'!$C$7:$C$1006,S24)&gt;0,SUMIFS('Häutungen'!$D$7:$D$1006,'Häutungen'!$A$7:$A$1006,A24,'Häutungen'!$C$7:$C$1006,S24),IF(I24="","",I24))))</f>
        <v/>
      </c>
      <c r="Y24" s="66">
        <f>IF(A24="","",IF(COUNTIFS('Fütterung'!$A$7:$A$2006,A24,'Fütterung'!$E$7:$E$2006,"Ja")=0,"",_xlfn.MAXIFS('Fütterung'!$C$7:$C$2006,'Fütterung'!$A$7:$A$2006,A24,'Fütterung'!$E$7:$E$2006,"Ja")))</f>
        <v/>
      </c>
      <c r="Z24" s="67">
        <f>IF(Y24="","",TODAY()-Y24)</f>
        <v/>
      </c>
      <c r="AA24" s="65">
        <f>IF(A24="","",IF(AND(F24="männlich",H24="Adult"),"Adultes Männchen",IF(AND(Z24&lt;&gt;"",N(Z24)&gt;=FutterGrenze),"Frisst nicht",IF(U24="","Zu wenig Daten",IF(V24&gt;U24*TpM*FaktorUeber,"Überfällig",IF(V24&gt;U24*TpM*FaktorBald,"Fällig","Im Plan"))))))</f>
        <v/>
      </c>
      <c r="AB24" s="69">
        <f>IF(AND(AC24=1,W24&lt;&gt;""),N(W24)+ROW()/100000,"")</f>
        <v/>
      </c>
      <c r="AC24" s="69">
        <f>IF(A24="","",IF(SUBTOTAL(103,A24)=1,1,0))</f>
        <v/>
      </c>
    </row>
    <row r="25" ht="20" customHeight="1">
      <c r="A25" s="60" t="n"/>
      <c r="B25" s="61" t="n"/>
      <c r="C25" s="61" t="n"/>
      <c r="D25" s="61" t="n"/>
      <c r="E25" s="60" t="n"/>
      <c r="F25" s="60" t="n"/>
      <c r="G25" s="60" t="n"/>
      <c r="H25" s="60" t="n"/>
      <c r="I25" s="62" t="n"/>
      <c r="J25" s="63" t="n"/>
      <c r="K25" s="61" t="n"/>
      <c r="L25" s="64" t="n"/>
      <c r="M25" s="60" t="n"/>
      <c r="N25" s="60" t="n"/>
      <c r="O25" s="60" t="n"/>
      <c r="P25" s="61" t="n"/>
      <c r="Q25" s="61" t="n"/>
      <c r="R25" s="65">
        <f>IF(A25="","",TRIM(C25&amp;" "&amp;D25))</f>
        <v/>
      </c>
      <c r="S25" s="66">
        <f>IF(A25="","",IF(COUNTIFS('Häutungen'!$A$7:$A$1006,A25,'Häutungen'!$C$7:$C$1006,"&gt;0")=0,"",_xlfn.MAXIFS('Häutungen'!$C$7:$C$1006,'Häutungen'!$A$7:$A$1006,A25)))</f>
        <v/>
      </c>
      <c r="T25" s="67">
        <f>IF(A25="","",COUNTIFS('Häutungen'!$A$7:$A$1006,A25,'Häutungen'!$C$7:$C$1006,"&gt;0"))</f>
        <v/>
      </c>
      <c r="U25" s="68">
        <f>IF(A25="","",IF(T25&lt;2,"",IFERROR(AVERAGEIFS('Häutungen'!$J$7:$J$1006,'Häutungen'!$A$7:$A$1006,A25,'Häutungen'!$K$7:$K$1006,"&lt;3",'Häutungen'!$I$7:$I$1006,"&gt;0"),"")))</f>
        <v/>
      </c>
      <c r="V25" s="67">
        <f>IF(S25="","",TODAY()-S25)</f>
        <v/>
      </c>
      <c r="W25" s="66">
        <f>IF(OR(U25="",AND(F25="männlich",H25="Adult")),"",S25+ROUND(U25*TpM,0))</f>
        <v/>
      </c>
      <c r="X25" s="68">
        <f>IF(A25="","",IF(S25="",IF(I25="","",I25),IF(SUMIFS('Häutungen'!$D$7:$D$1006,'Häutungen'!$A$7:$A$1006,A25,'Häutungen'!$C$7:$C$1006,S25)&gt;0,SUMIFS('Häutungen'!$D$7:$D$1006,'Häutungen'!$A$7:$A$1006,A25,'Häutungen'!$C$7:$C$1006,S25),IF(I25="","",I25))))</f>
        <v/>
      </c>
      <c r="Y25" s="66">
        <f>IF(A25="","",IF(COUNTIFS('Fütterung'!$A$7:$A$2006,A25,'Fütterung'!$E$7:$E$2006,"Ja")=0,"",_xlfn.MAXIFS('Fütterung'!$C$7:$C$2006,'Fütterung'!$A$7:$A$2006,A25,'Fütterung'!$E$7:$E$2006,"Ja")))</f>
        <v/>
      </c>
      <c r="Z25" s="67">
        <f>IF(Y25="","",TODAY()-Y25)</f>
        <v/>
      </c>
      <c r="AA25" s="65">
        <f>IF(A25="","",IF(AND(F25="männlich",H25="Adult"),"Adultes Männchen",IF(AND(Z25&lt;&gt;"",N(Z25)&gt;=FutterGrenze),"Frisst nicht",IF(U25="","Zu wenig Daten",IF(V25&gt;U25*TpM*FaktorUeber,"Überfällig",IF(V25&gt;U25*TpM*FaktorBald,"Fällig","Im Plan"))))))</f>
        <v/>
      </c>
      <c r="AB25" s="69">
        <f>IF(AND(AC25=1,W25&lt;&gt;""),N(W25)+ROW()/100000,"")</f>
        <v/>
      </c>
      <c r="AC25" s="69">
        <f>IF(A25="","",IF(SUBTOTAL(103,A25)=1,1,0))</f>
        <v/>
      </c>
    </row>
    <row r="26" ht="20" customHeight="1">
      <c r="A26" s="60" t="n"/>
      <c r="B26" s="61" t="n"/>
      <c r="C26" s="61" t="n"/>
      <c r="D26" s="61" t="n"/>
      <c r="E26" s="60" t="n"/>
      <c r="F26" s="60" t="n"/>
      <c r="G26" s="60" t="n"/>
      <c r="H26" s="60" t="n"/>
      <c r="I26" s="62" t="n"/>
      <c r="J26" s="63" t="n"/>
      <c r="K26" s="61" t="n"/>
      <c r="L26" s="64" t="n"/>
      <c r="M26" s="60" t="n"/>
      <c r="N26" s="60" t="n"/>
      <c r="O26" s="60" t="n"/>
      <c r="P26" s="61" t="n"/>
      <c r="Q26" s="61" t="n"/>
      <c r="R26" s="65">
        <f>IF(A26="","",TRIM(C26&amp;" "&amp;D26))</f>
        <v/>
      </c>
      <c r="S26" s="66">
        <f>IF(A26="","",IF(COUNTIFS('Häutungen'!$A$7:$A$1006,A26,'Häutungen'!$C$7:$C$1006,"&gt;0")=0,"",_xlfn.MAXIFS('Häutungen'!$C$7:$C$1006,'Häutungen'!$A$7:$A$1006,A26)))</f>
        <v/>
      </c>
      <c r="T26" s="67">
        <f>IF(A26="","",COUNTIFS('Häutungen'!$A$7:$A$1006,A26,'Häutungen'!$C$7:$C$1006,"&gt;0"))</f>
        <v/>
      </c>
      <c r="U26" s="68">
        <f>IF(A26="","",IF(T26&lt;2,"",IFERROR(AVERAGEIFS('Häutungen'!$J$7:$J$1006,'Häutungen'!$A$7:$A$1006,A26,'Häutungen'!$K$7:$K$1006,"&lt;3",'Häutungen'!$I$7:$I$1006,"&gt;0"),"")))</f>
        <v/>
      </c>
      <c r="V26" s="67">
        <f>IF(S26="","",TODAY()-S26)</f>
        <v/>
      </c>
      <c r="W26" s="66">
        <f>IF(OR(U26="",AND(F26="männlich",H26="Adult")),"",S26+ROUND(U26*TpM,0))</f>
        <v/>
      </c>
      <c r="X26" s="68">
        <f>IF(A26="","",IF(S26="",IF(I26="","",I26),IF(SUMIFS('Häutungen'!$D$7:$D$1006,'Häutungen'!$A$7:$A$1006,A26,'Häutungen'!$C$7:$C$1006,S26)&gt;0,SUMIFS('Häutungen'!$D$7:$D$1006,'Häutungen'!$A$7:$A$1006,A26,'Häutungen'!$C$7:$C$1006,S26),IF(I26="","",I26))))</f>
        <v/>
      </c>
      <c r="Y26" s="66">
        <f>IF(A26="","",IF(COUNTIFS('Fütterung'!$A$7:$A$2006,A26,'Fütterung'!$E$7:$E$2006,"Ja")=0,"",_xlfn.MAXIFS('Fütterung'!$C$7:$C$2006,'Fütterung'!$A$7:$A$2006,A26,'Fütterung'!$E$7:$E$2006,"Ja")))</f>
        <v/>
      </c>
      <c r="Z26" s="67">
        <f>IF(Y26="","",TODAY()-Y26)</f>
        <v/>
      </c>
      <c r="AA26" s="65">
        <f>IF(A26="","",IF(AND(F26="männlich",H26="Adult"),"Adultes Männchen",IF(AND(Z26&lt;&gt;"",N(Z26)&gt;=FutterGrenze),"Frisst nicht",IF(U26="","Zu wenig Daten",IF(V26&gt;U26*TpM*FaktorUeber,"Überfällig",IF(V26&gt;U26*TpM*FaktorBald,"Fällig","Im Plan"))))))</f>
        <v/>
      </c>
      <c r="AB26" s="69">
        <f>IF(AND(AC26=1,W26&lt;&gt;""),N(W26)+ROW()/100000,"")</f>
        <v/>
      </c>
      <c r="AC26" s="69">
        <f>IF(A26="","",IF(SUBTOTAL(103,A26)=1,1,0))</f>
        <v/>
      </c>
    </row>
    <row r="27" ht="20" customHeight="1">
      <c r="A27" s="60" t="n"/>
      <c r="B27" s="61" t="n"/>
      <c r="C27" s="61" t="n"/>
      <c r="D27" s="61" t="n"/>
      <c r="E27" s="60" t="n"/>
      <c r="F27" s="60" t="n"/>
      <c r="G27" s="60" t="n"/>
      <c r="H27" s="60" t="n"/>
      <c r="I27" s="62" t="n"/>
      <c r="J27" s="63" t="n"/>
      <c r="K27" s="61" t="n"/>
      <c r="L27" s="64" t="n"/>
      <c r="M27" s="60" t="n"/>
      <c r="N27" s="60" t="n"/>
      <c r="O27" s="60" t="n"/>
      <c r="P27" s="61" t="n"/>
      <c r="Q27" s="61" t="n"/>
      <c r="R27" s="65">
        <f>IF(A27="","",TRIM(C27&amp;" "&amp;D27))</f>
        <v/>
      </c>
      <c r="S27" s="66">
        <f>IF(A27="","",IF(COUNTIFS('Häutungen'!$A$7:$A$1006,A27,'Häutungen'!$C$7:$C$1006,"&gt;0")=0,"",_xlfn.MAXIFS('Häutungen'!$C$7:$C$1006,'Häutungen'!$A$7:$A$1006,A27)))</f>
        <v/>
      </c>
      <c r="T27" s="67">
        <f>IF(A27="","",COUNTIFS('Häutungen'!$A$7:$A$1006,A27,'Häutungen'!$C$7:$C$1006,"&gt;0"))</f>
        <v/>
      </c>
      <c r="U27" s="68">
        <f>IF(A27="","",IF(T27&lt;2,"",IFERROR(AVERAGEIFS('Häutungen'!$J$7:$J$1006,'Häutungen'!$A$7:$A$1006,A27,'Häutungen'!$K$7:$K$1006,"&lt;3",'Häutungen'!$I$7:$I$1006,"&gt;0"),"")))</f>
        <v/>
      </c>
      <c r="V27" s="67">
        <f>IF(S27="","",TODAY()-S27)</f>
        <v/>
      </c>
      <c r="W27" s="66">
        <f>IF(OR(U27="",AND(F27="männlich",H27="Adult")),"",S27+ROUND(U27*TpM,0))</f>
        <v/>
      </c>
      <c r="X27" s="68">
        <f>IF(A27="","",IF(S27="",IF(I27="","",I27),IF(SUMIFS('Häutungen'!$D$7:$D$1006,'Häutungen'!$A$7:$A$1006,A27,'Häutungen'!$C$7:$C$1006,S27)&gt;0,SUMIFS('Häutungen'!$D$7:$D$1006,'Häutungen'!$A$7:$A$1006,A27,'Häutungen'!$C$7:$C$1006,S27),IF(I27="","",I27))))</f>
        <v/>
      </c>
      <c r="Y27" s="66">
        <f>IF(A27="","",IF(COUNTIFS('Fütterung'!$A$7:$A$2006,A27,'Fütterung'!$E$7:$E$2006,"Ja")=0,"",_xlfn.MAXIFS('Fütterung'!$C$7:$C$2006,'Fütterung'!$A$7:$A$2006,A27,'Fütterung'!$E$7:$E$2006,"Ja")))</f>
        <v/>
      </c>
      <c r="Z27" s="67">
        <f>IF(Y27="","",TODAY()-Y27)</f>
        <v/>
      </c>
      <c r="AA27" s="65">
        <f>IF(A27="","",IF(AND(F27="männlich",H27="Adult"),"Adultes Männchen",IF(AND(Z27&lt;&gt;"",N(Z27)&gt;=FutterGrenze),"Frisst nicht",IF(U27="","Zu wenig Daten",IF(V27&gt;U27*TpM*FaktorUeber,"Überfällig",IF(V27&gt;U27*TpM*FaktorBald,"Fällig","Im Plan"))))))</f>
        <v/>
      </c>
      <c r="AB27" s="69">
        <f>IF(AND(AC27=1,W27&lt;&gt;""),N(W27)+ROW()/100000,"")</f>
        <v/>
      </c>
      <c r="AC27" s="69">
        <f>IF(A27="","",IF(SUBTOTAL(103,A27)=1,1,0))</f>
        <v/>
      </c>
    </row>
    <row r="28" ht="20" customHeight="1">
      <c r="A28" s="60" t="n"/>
      <c r="B28" s="61" t="n"/>
      <c r="C28" s="61" t="n"/>
      <c r="D28" s="61" t="n"/>
      <c r="E28" s="60" t="n"/>
      <c r="F28" s="60" t="n"/>
      <c r="G28" s="60" t="n"/>
      <c r="H28" s="60" t="n"/>
      <c r="I28" s="62" t="n"/>
      <c r="J28" s="63" t="n"/>
      <c r="K28" s="61" t="n"/>
      <c r="L28" s="64" t="n"/>
      <c r="M28" s="60" t="n"/>
      <c r="N28" s="60" t="n"/>
      <c r="O28" s="60" t="n"/>
      <c r="P28" s="61" t="n"/>
      <c r="Q28" s="61" t="n"/>
      <c r="R28" s="65">
        <f>IF(A28="","",TRIM(C28&amp;" "&amp;D28))</f>
        <v/>
      </c>
      <c r="S28" s="66">
        <f>IF(A28="","",IF(COUNTIFS('Häutungen'!$A$7:$A$1006,A28,'Häutungen'!$C$7:$C$1006,"&gt;0")=0,"",_xlfn.MAXIFS('Häutungen'!$C$7:$C$1006,'Häutungen'!$A$7:$A$1006,A28)))</f>
        <v/>
      </c>
      <c r="T28" s="67">
        <f>IF(A28="","",COUNTIFS('Häutungen'!$A$7:$A$1006,A28,'Häutungen'!$C$7:$C$1006,"&gt;0"))</f>
        <v/>
      </c>
      <c r="U28" s="68">
        <f>IF(A28="","",IF(T28&lt;2,"",IFERROR(AVERAGEIFS('Häutungen'!$J$7:$J$1006,'Häutungen'!$A$7:$A$1006,A28,'Häutungen'!$K$7:$K$1006,"&lt;3",'Häutungen'!$I$7:$I$1006,"&gt;0"),"")))</f>
        <v/>
      </c>
      <c r="V28" s="67">
        <f>IF(S28="","",TODAY()-S28)</f>
        <v/>
      </c>
      <c r="W28" s="66">
        <f>IF(OR(U28="",AND(F28="männlich",H28="Adult")),"",S28+ROUND(U28*TpM,0))</f>
        <v/>
      </c>
      <c r="X28" s="68">
        <f>IF(A28="","",IF(S28="",IF(I28="","",I28),IF(SUMIFS('Häutungen'!$D$7:$D$1006,'Häutungen'!$A$7:$A$1006,A28,'Häutungen'!$C$7:$C$1006,S28)&gt;0,SUMIFS('Häutungen'!$D$7:$D$1006,'Häutungen'!$A$7:$A$1006,A28,'Häutungen'!$C$7:$C$1006,S28),IF(I28="","",I28))))</f>
        <v/>
      </c>
      <c r="Y28" s="66">
        <f>IF(A28="","",IF(COUNTIFS('Fütterung'!$A$7:$A$2006,A28,'Fütterung'!$E$7:$E$2006,"Ja")=0,"",_xlfn.MAXIFS('Fütterung'!$C$7:$C$2006,'Fütterung'!$A$7:$A$2006,A28,'Fütterung'!$E$7:$E$2006,"Ja")))</f>
        <v/>
      </c>
      <c r="Z28" s="67">
        <f>IF(Y28="","",TODAY()-Y28)</f>
        <v/>
      </c>
      <c r="AA28" s="65">
        <f>IF(A28="","",IF(AND(F28="männlich",H28="Adult"),"Adultes Männchen",IF(AND(Z28&lt;&gt;"",N(Z28)&gt;=FutterGrenze),"Frisst nicht",IF(U28="","Zu wenig Daten",IF(V28&gt;U28*TpM*FaktorUeber,"Überfällig",IF(V28&gt;U28*TpM*FaktorBald,"Fällig","Im Plan"))))))</f>
        <v/>
      </c>
      <c r="AB28" s="69">
        <f>IF(AND(AC28=1,W28&lt;&gt;""),N(W28)+ROW()/100000,"")</f>
        <v/>
      </c>
      <c r="AC28" s="69">
        <f>IF(A28="","",IF(SUBTOTAL(103,A28)=1,1,0))</f>
        <v/>
      </c>
    </row>
    <row r="29" ht="20" customHeight="1">
      <c r="A29" s="60" t="n"/>
      <c r="B29" s="61" t="n"/>
      <c r="C29" s="61" t="n"/>
      <c r="D29" s="61" t="n"/>
      <c r="E29" s="60" t="n"/>
      <c r="F29" s="60" t="n"/>
      <c r="G29" s="60" t="n"/>
      <c r="H29" s="60" t="n"/>
      <c r="I29" s="62" t="n"/>
      <c r="J29" s="63" t="n"/>
      <c r="K29" s="61" t="n"/>
      <c r="L29" s="64" t="n"/>
      <c r="M29" s="60" t="n"/>
      <c r="N29" s="60" t="n"/>
      <c r="O29" s="60" t="n"/>
      <c r="P29" s="61" t="n"/>
      <c r="Q29" s="61" t="n"/>
      <c r="R29" s="65">
        <f>IF(A29="","",TRIM(C29&amp;" "&amp;D29))</f>
        <v/>
      </c>
      <c r="S29" s="66">
        <f>IF(A29="","",IF(COUNTIFS('Häutungen'!$A$7:$A$1006,A29,'Häutungen'!$C$7:$C$1006,"&gt;0")=0,"",_xlfn.MAXIFS('Häutungen'!$C$7:$C$1006,'Häutungen'!$A$7:$A$1006,A29)))</f>
        <v/>
      </c>
      <c r="T29" s="67">
        <f>IF(A29="","",COUNTIFS('Häutungen'!$A$7:$A$1006,A29,'Häutungen'!$C$7:$C$1006,"&gt;0"))</f>
        <v/>
      </c>
      <c r="U29" s="68">
        <f>IF(A29="","",IF(T29&lt;2,"",IFERROR(AVERAGEIFS('Häutungen'!$J$7:$J$1006,'Häutungen'!$A$7:$A$1006,A29,'Häutungen'!$K$7:$K$1006,"&lt;3",'Häutungen'!$I$7:$I$1006,"&gt;0"),"")))</f>
        <v/>
      </c>
      <c r="V29" s="67">
        <f>IF(S29="","",TODAY()-S29)</f>
        <v/>
      </c>
      <c r="W29" s="66">
        <f>IF(OR(U29="",AND(F29="männlich",H29="Adult")),"",S29+ROUND(U29*TpM,0))</f>
        <v/>
      </c>
      <c r="X29" s="68">
        <f>IF(A29="","",IF(S29="",IF(I29="","",I29),IF(SUMIFS('Häutungen'!$D$7:$D$1006,'Häutungen'!$A$7:$A$1006,A29,'Häutungen'!$C$7:$C$1006,S29)&gt;0,SUMIFS('Häutungen'!$D$7:$D$1006,'Häutungen'!$A$7:$A$1006,A29,'Häutungen'!$C$7:$C$1006,S29),IF(I29="","",I29))))</f>
        <v/>
      </c>
      <c r="Y29" s="66">
        <f>IF(A29="","",IF(COUNTIFS('Fütterung'!$A$7:$A$2006,A29,'Fütterung'!$E$7:$E$2006,"Ja")=0,"",_xlfn.MAXIFS('Fütterung'!$C$7:$C$2006,'Fütterung'!$A$7:$A$2006,A29,'Fütterung'!$E$7:$E$2006,"Ja")))</f>
        <v/>
      </c>
      <c r="Z29" s="67">
        <f>IF(Y29="","",TODAY()-Y29)</f>
        <v/>
      </c>
      <c r="AA29" s="65">
        <f>IF(A29="","",IF(AND(F29="männlich",H29="Adult"),"Adultes Männchen",IF(AND(Z29&lt;&gt;"",N(Z29)&gt;=FutterGrenze),"Frisst nicht",IF(U29="","Zu wenig Daten",IF(V29&gt;U29*TpM*FaktorUeber,"Überfällig",IF(V29&gt;U29*TpM*FaktorBald,"Fällig","Im Plan"))))))</f>
        <v/>
      </c>
      <c r="AB29" s="69">
        <f>IF(AND(AC29=1,W29&lt;&gt;""),N(W29)+ROW()/100000,"")</f>
        <v/>
      </c>
      <c r="AC29" s="69">
        <f>IF(A29="","",IF(SUBTOTAL(103,A29)=1,1,0))</f>
        <v/>
      </c>
    </row>
    <row r="30" ht="20" customHeight="1">
      <c r="A30" s="60" t="n"/>
      <c r="B30" s="61" t="n"/>
      <c r="C30" s="61" t="n"/>
      <c r="D30" s="61" t="n"/>
      <c r="E30" s="60" t="n"/>
      <c r="F30" s="60" t="n"/>
      <c r="G30" s="60" t="n"/>
      <c r="H30" s="60" t="n"/>
      <c r="I30" s="62" t="n"/>
      <c r="J30" s="63" t="n"/>
      <c r="K30" s="61" t="n"/>
      <c r="L30" s="64" t="n"/>
      <c r="M30" s="60" t="n"/>
      <c r="N30" s="60" t="n"/>
      <c r="O30" s="60" t="n"/>
      <c r="P30" s="61" t="n"/>
      <c r="Q30" s="61" t="n"/>
      <c r="R30" s="65">
        <f>IF(A30="","",TRIM(C30&amp;" "&amp;D30))</f>
        <v/>
      </c>
      <c r="S30" s="66">
        <f>IF(A30="","",IF(COUNTIFS('Häutungen'!$A$7:$A$1006,A30,'Häutungen'!$C$7:$C$1006,"&gt;0")=0,"",_xlfn.MAXIFS('Häutungen'!$C$7:$C$1006,'Häutungen'!$A$7:$A$1006,A30)))</f>
        <v/>
      </c>
      <c r="T30" s="67">
        <f>IF(A30="","",COUNTIFS('Häutungen'!$A$7:$A$1006,A30,'Häutungen'!$C$7:$C$1006,"&gt;0"))</f>
        <v/>
      </c>
      <c r="U30" s="68">
        <f>IF(A30="","",IF(T30&lt;2,"",IFERROR(AVERAGEIFS('Häutungen'!$J$7:$J$1006,'Häutungen'!$A$7:$A$1006,A30,'Häutungen'!$K$7:$K$1006,"&lt;3",'Häutungen'!$I$7:$I$1006,"&gt;0"),"")))</f>
        <v/>
      </c>
      <c r="V30" s="67">
        <f>IF(S30="","",TODAY()-S30)</f>
        <v/>
      </c>
      <c r="W30" s="66">
        <f>IF(OR(U30="",AND(F30="männlich",H30="Adult")),"",S30+ROUND(U30*TpM,0))</f>
        <v/>
      </c>
      <c r="X30" s="68">
        <f>IF(A30="","",IF(S30="",IF(I30="","",I30),IF(SUMIFS('Häutungen'!$D$7:$D$1006,'Häutungen'!$A$7:$A$1006,A30,'Häutungen'!$C$7:$C$1006,S30)&gt;0,SUMIFS('Häutungen'!$D$7:$D$1006,'Häutungen'!$A$7:$A$1006,A30,'Häutungen'!$C$7:$C$1006,S30),IF(I30="","",I30))))</f>
        <v/>
      </c>
      <c r="Y30" s="66">
        <f>IF(A30="","",IF(COUNTIFS('Fütterung'!$A$7:$A$2006,A30,'Fütterung'!$E$7:$E$2006,"Ja")=0,"",_xlfn.MAXIFS('Fütterung'!$C$7:$C$2006,'Fütterung'!$A$7:$A$2006,A30,'Fütterung'!$E$7:$E$2006,"Ja")))</f>
        <v/>
      </c>
      <c r="Z30" s="67">
        <f>IF(Y30="","",TODAY()-Y30)</f>
        <v/>
      </c>
      <c r="AA30" s="65">
        <f>IF(A30="","",IF(AND(F30="männlich",H30="Adult"),"Adultes Männchen",IF(AND(Z30&lt;&gt;"",N(Z30)&gt;=FutterGrenze),"Frisst nicht",IF(U30="","Zu wenig Daten",IF(V30&gt;U30*TpM*FaktorUeber,"Überfällig",IF(V30&gt;U30*TpM*FaktorBald,"Fällig","Im Plan"))))))</f>
        <v/>
      </c>
      <c r="AB30" s="69">
        <f>IF(AND(AC30=1,W30&lt;&gt;""),N(W30)+ROW()/100000,"")</f>
        <v/>
      </c>
      <c r="AC30" s="69">
        <f>IF(A30="","",IF(SUBTOTAL(103,A30)=1,1,0))</f>
        <v/>
      </c>
    </row>
    <row r="31" ht="20" customHeight="1">
      <c r="A31" s="60" t="n"/>
      <c r="B31" s="61" t="n"/>
      <c r="C31" s="61" t="n"/>
      <c r="D31" s="61" t="n"/>
      <c r="E31" s="60" t="n"/>
      <c r="F31" s="60" t="n"/>
      <c r="G31" s="60" t="n"/>
      <c r="H31" s="60" t="n"/>
      <c r="I31" s="62" t="n"/>
      <c r="J31" s="63" t="n"/>
      <c r="K31" s="61" t="n"/>
      <c r="L31" s="64" t="n"/>
      <c r="M31" s="60" t="n"/>
      <c r="N31" s="60" t="n"/>
      <c r="O31" s="60" t="n"/>
      <c r="P31" s="61" t="n"/>
      <c r="Q31" s="61" t="n"/>
      <c r="R31" s="65">
        <f>IF(A31="","",TRIM(C31&amp;" "&amp;D31))</f>
        <v/>
      </c>
      <c r="S31" s="66">
        <f>IF(A31="","",IF(COUNTIFS('Häutungen'!$A$7:$A$1006,A31,'Häutungen'!$C$7:$C$1006,"&gt;0")=0,"",_xlfn.MAXIFS('Häutungen'!$C$7:$C$1006,'Häutungen'!$A$7:$A$1006,A31)))</f>
        <v/>
      </c>
      <c r="T31" s="67">
        <f>IF(A31="","",COUNTIFS('Häutungen'!$A$7:$A$1006,A31,'Häutungen'!$C$7:$C$1006,"&gt;0"))</f>
        <v/>
      </c>
      <c r="U31" s="68">
        <f>IF(A31="","",IF(T31&lt;2,"",IFERROR(AVERAGEIFS('Häutungen'!$J$7:$J$1006,'Häutungen'!$A$7:$A$1006,A31,'Häutungen'!$K$7:$K$1006,"&lt;3",'Häutungen'!$I$7:$I$1006,"&gt;0"),"")))</f>
        <v/>
      </c>
      <c r="V31" s="67">
        <f>IF(S31="","",TODAY()-S31)</f>
        <v/>
      </c>
      <c r="W31" s="66">
        <f>IF(OR(U31="",AND(F31="männlich",H31="Adult")),"",S31+ROUND(U31*TpM,0))</f>
        <v/>
      </c>
      <c r="X31" s="68">
        <f>IF(A31="","",IF(S31="",IF(I31="","",I31),IF(SUMIFS('Häutungen'!$D$7:$D$1006,'Häutungen'!$A$7:$A$1006,A31,'Häutungen'!$C$7:$C$1006,S31)&gt;0,SUMIFS('Häutungen'!$D$7:$D$1006,'Häutungen'!$A$7:$A$1006,A31,'Häutungen'!$C$7:$C$1006,S31),IF(I31="","",I31))))</f>
        <v/>
      </c>
      <c r="Y31" s="66">
        <f>IF(A31="","",IF(COUNTIFS('Fütterung'!$A$7:$A$2006,A31,'Fütterung'!$E$7:$E$2006,"Ja")=0,"",_xlfn.MAXIFS('Fütterung'!$C$7:$C$2006,'Fütterung'!$A$7:$A$2006,A31,'Fütterung'!$E$7:$E$2006,"Ja")))</f>
        <v/>
      </c>
      <c r="Z31" s="67">
        <f>IF(Y31="","",TODAY()-Y31)</f>
        <v/>
      </c>
      <c r="AA31" s="65">
        <f>IF(A31="","",IF(AND(F31="männlich",H31="Adult"),"Adultes Männchen",IF(AND(Z31&lt;&gt;"",N(Z31)&gt;=FutterGrenze),"Frisst nicht",IF(U31="","Zu wenig Daten",IF(V31&gt;U31*TpM*FaktorUeber,"Überfällig",IF(V31&gt;U31*TpM*FaktorBald,"Fällig","Im Plan"))))))</f>
        <v/>
      </c>
      <c r="AB31" s="69">
        <f>IF(AND(AC31=1,W31&lt;&gt;""),N(W31)+ROW()/100000,"")</f>
        <v/>
      </c>
      <c r="AC31" s="69">
        <f>IF(A31="","",IF(SUBTOTAL(103,A31)=1,1,0))</f>
        <v/>
      </c>
    </row>
    <row r="32" ht="20" customHeight="1">
      <c r="A32" s="60" t="n"/>
      <c r="B32" s="61" t="n"/>
      <c r="C32" s="61" t="n"/>
      <c r="D32" s="61" t="n"/>
      <c r="E32" s="60" t="n"/>
      <c r="F32" s="60" t="n"/>
      <c r="G32" s="60" t="n"/>
      <c r="H32" s="60" t="n"/>
      <c r="I32" s="62" t="n"/>
      <c r="J32" s="63" t="n"/>
      <c r="K32" s="61" t="n"/>
      <c r="L32" s="64" t="n"/>
      <c r="M32" s="60" t="n"/>
      <c r="N32" s="60" t="n"/>
      <c r="O32" s="60" t="n"/>
      <c r="P32" s="61" t="n"/>
      <c r="Q32" s="61" t="n"/>
      <c r="R32" s="65">
        <f>IF(A32="","",TRIM(C32&amp;" "&amp;D32))</f>
        <v/>
      </c>
      <c r="S32" s="66">
        <f>IF(A32="","",IF(COUNTIFS('Häutungen'!$A$7:$A$1006,A32,'Häutungen'!$C$7:$C$1006,"&gt;0")=0,"",_xlfn.MAXIFS('Häutungen'!$C$7:$C$1006,'Häutungen'!$A$7:$A$1006,A32)))</f>
        <v/>
      </c>
      <c r="T32" s="67">
        <f>IF(A32="","",COUNTIFS('Häutungen'!$A$7:$A$1006,A32,'Häutungen'!$C$7:$C$1006,"&gt;0"))</f>
        <v/>
      </c>
      <c r="U32" s="68">
        <f>IF(A32="","",IF(T32&lt;2,"",IFERROR(AVERAGEIFS('Häutungen'!$J$7:$J$1006,'Häutungen'!$A$7:$A$1006,A32,'Häutungen'!$K$7:$K$1006,"&lt;3",'Häutungen'!$I$7:$I$1006,"&gt;0"),"")))</f>
        <v/>
      </c>
      <c r="V32" s="67">
        <f>IF(S32="","",TODAY()-S32)</f>
        <v/>
      </c>
      <c r="W32" s="66">
        <f>IF(OR(U32="",AND(F32="männlich",H32="Adult")),"",S32+ROUND(U32*TpM,0))</f>
        <v/>
      </c>
      <c r="X32" s="68">
        <f>IF(A32="","",IF(S32="",IF(I32="","",I32),IF(SUMIFS('Häutungen'!$D$7:$D$1006,'Häutungen'!$A$7:$A$1006,A32,'Häutungen'!$C$7:$C$1006,S32)&gt;0,SUMIFS('Häutungen'!$D$7:$D$1006,'Häutungen'!$A$7:$A$1006,A32,'Häutungen'!$C$7:$C$1006,S32),IF(I32="","",I32))))</f>
        <v/>
      </c>
      <c r="Y32" s="66">
        <f>IF(A32="","",IF(COUNTIFS('Fütterung'!$A$7:$A$2006,A32,'Fütterung'!$E$7:$E$2006,"Ja")=0,"",_xlfn.MAXIFS('Fütterung'!$C$7:$C$2006,'Fütterung'!$A$7:$A$2006,A32,'Fütterung'!$E$7:$E$2006,"Ja")))</f>
        <v/>
      </c>
      <c r="Z32" s="67">
        <f>IF(Y32="","",TODAY()-Y32)</f>
        <v/>
      </c>
      <c r="AA32" s="65">
        <f>IF(A32="","",IF(AND(F32="männlich",H32="Adult"),"Adultes Männchen",IF(AND(Z32&lt;&gt;"",N(Z32)&gt;=FutterGrenze),"Frisst nicht",IF(U32="","Zu wenig Daten",IF(V32&gt;U32*TpM*FaktorUeber,"Überfällig",IF(V32&gt;U32*TpM*FaktorBald,"Fällig","Im Plan"))))))</f>
        <v/>
      </c>
      <c r="AB32" s="69">
        <f>IF(AND(AC32=1,W32&lt;&gt;""),N(W32)+ROW()/100000,"")</f>
        <v/>
      </c>
      <c r="AC32" s="69">
        <f>IF(A32="","",IF(SUBTOTAL(103,A32)=1,1,0))</f>
        <v/>
      </c>
    </row>
    <row r="33" ht="20" customHeight="1">
      <c r="A33" s="60" t="n"/>
      <c r="B33" s="61" t="n"/>
      <c r="C33" s="61" t="n"/>
      <c r="D33" s="61" t="n"/>
      <c r="E33" s="60" t="n"/>
      <c r="F33" s="60" t="n"/>
      <c r="G33" s="60" t="n"/>
      <c r="H33" s="60" t="n"/>
      <c r="I33" s="62" t="n"/>
      <c r="J33" s="63" t="n"/>
      <c r="K33" s="61" t="n"/>
      <c r="L33" s="64" t="n"/>
      <c r="M33" s="60" t="n"/>
      <c r="N33" s="60" t="n"/>
      <c r="O33" s="60" t="n"/>
      <c r="P33" s="61" t="n"/>
      <c r="Q33" s="61" t="n"/>
      <c r="R33" s="65">
        <f>IF(A33="","",TRIM(C33&amp;" "&amp;D33))</f>
        <v/>
      </c>
      <c r="S33" s="66">
        <f>IF(A33="","",IF(COUNTIFS('Häutungen'!$A$7:$A$1006,A33,'Häutungen'!$C$7:$C$1006,"&gt;0")=0,"",_xlfn.MAXIFS('Häutungen'!$C$7:$C$1006,'Häutungen'!$A$7:$A$1006,A33)))</f>
        <v/>
      </c>
      <c r="T33" s="67">
        <f>IF(A33="","",COUNTIFS('Häutungen'!$A$7:$A$1006,A33,'Häutungen'!$C$7:$C$1006,"&gt;0"))</f>
        <v/>
      </c>
      <c r="U33" s="68">
        <f>IF(A33="","",IF(T33&lt;2,"",IFERROR(AVERAGEIFS('Häutungen'!$J$7:$J$1006,'Häutungen'!$A$7:$A$1006,A33,'Häutungen'!$K$7:$K$1006,"&lt;3",'Häutungen'!$I$7:$I$1006,"&gt;0"),"")))</f>
        <v/>
      </c>
      <c r="V33" s="67">
        <f>IF(S33="","",TODAY()-S33)</f>
        <v/>
      </c>
      <c r="W33" s="66">
        <f>IF(OR(U33="",AND(F33="männlich",H33="Adult")),"",S33+ROUND(U33*TpM,0))</f>
        <v/>
      </c>
      <c r="X33" s="68">
        <f>IF(A33="","",IF(S33="",IF(I33="","",I33),IF(SUMIFS('Häutungen'!$D$7:$D$1006,'Häutungen'!$A$7:$A$1006,A33,'Häutungen'!$C$7:$C$1006,S33)&gt;0,SUMIFS('Häutungen'!$D$7:$D$1006,'Häutungen'!$A$7:$A$1006,A33,'Häutungen'!$C$7:$C$1006,S33),IF(I33="","",I33))))</f>
        <v/>
      </c>
      <c r="Y33" s="66">
        <f>IF(A33="","",IF(COUNTIFS('Fütterung'!$A$7:$A$2006,A33,'Fütterung'!$E$7:$E$2006,"Ja")=0,"",_xlfn.MAXIFS('Fütterung'!$C$7:$C$2006,'Fütterung'!$A$7:$A$2006,A33,'Fütterung'!$E$7:$E$2006,"Ja")))</f>
        <v/>
      </c>
      <c r="Z33" s="67">
        <f>IF(Y33="","",TODAY()-Y33)</f>
        <v/>
      </c>
      <c r="AA33" s="65">
        <f>IF(A33="","",IF(AND(F33="männlich",H33="Adult"),"Adultes Männchen",IF(AND(Z33&lt;&gt;"",N(Z33)&gt;=FutterGrenze),"Frisst nicht",IF(U33="","Zu wenig Daten",IF(V33&gt;U33*TpM*FaktorUeber,"Überfällig",IF(V33&gt;U33*TpM*FaktorBald,"Fällig","Im Plan"))))))</f>
        <v/>
      </c>
      <c r="AB33" s="69">
        <f>IF(AND(AC33=1,W33&lt;&gt;""),N(W33)+ROW()/100000,"")</f>
        <v/>
      </c>
      <c r="AC33" s="69">
        <f>IF(A33="","",IF(SUBTOTAL(103,A33)=1,1,0))</f>
        <v/>
      </c>
    </row>
    <row r="34" ht="20" customHeight="1">
      <c r="A34" s="60" t="n"/>
      <c r="B34" s="61" t="n"/>
      <c r="C34" s="61" t="n"/>
      <c r="D34" s="61" t="n"/>
      <c r="E34" s="60" t="n"/>
      <c r="F34" s="60" t="n"/>
      <c r="G34" s="60" t="n"/>
      <c r="H34" s="60" t="n"/>
      <c r="I34" s="62" t="n"/>
      <c r="J34" s="63" t="n"/>
      <c r="K34" s="61" t="n"/>
      <c r="L34" s="64" t="n"/>
      <c r="M34" s="60" t="n"/>
      <c r="N34" s="60" t="n"/>
      <c r="O34" s="60" t="n"/>
      <c r="P34" s="61" t="n"/>
      <c r="Q34" s="61" t="n"/>
      <c r="R34" s="65">
        <f>IF(A34="","",TRIM(C34&amp;" "&amp;D34))</f>
        <v/>
      </c>
      <c r="S34" s="66">
        <f>IF(A34="","",IF(COUNTIFS('Häutungen'!$A$7:$A$1006,A34,'Häutungen'!$C$7:$C$1006,"&gt;0")=0,"",_xlfn.MAXIFS('Häutungen'!$C$7:$C$1006,'Häutungen'!$A$7:$A$1006,A34)))</f>
        <v/>
      </c>
      <c r="T34" s="67">
        <f>IF(A34="","",COUNTIFS('Häutungen'!$A$7:$A$1006,A34,'Häutungen'!$C$7:$C$1006,"&gt;0"))</f>
        <v/>
      </c>
      <c r="U34" s="68">
        <f>IF(A34="","",IF(T34&lt;2,"",IFERROR(AVERAGEIFS('Häutungen'!$J$7:$J$1006,'Häutungen'!$A$7:$A$1006,A34,'Häutungen'!$K$7:$K$1006,"&lt;3",'Häutungen'!$I$7:$I$1006,"&gt;0"),"")))</f>
        <v/>
      </c>
      <c r="V34" s="67">
        <f>IF(S34="","",TODAY()-S34)</f>
        <v/>
      </c>
      <c r="W34" s="66">
        <f>IF(OR(U34="",AND(F34="männlich",H34="Adult")),"",S34+ROUND(U34*TpM,0))</f>
        <v/>
      </c>
      <c r="X34" s="68">
        <f>IF(A34="","",IF(S34="",IF(I34="","",I34),IF(SUMIFS('Häutungen'!$D$7:$D$1006,'Häutungen'!$A$7:$A$1006,A34,'Häutungen'!$C$7:$C$1006,S34)&gt;0,SUMIFS('Häutungen'!$D$7:$D$1006,'Häutungen'!$A$7:$A$1006,A34,'Häutungen'!$C$7:$C$1006,S34),IF(I34="","",I34))))</f>
        <v/>
      </c>
      <c r="Y34" s="66">
        <f>IF(A34="","",IF(COUNTIFS('Fütterung'!$A$7:$A$2006,A34,'Fütterung'!$E$7:$E$2006,"Ja")=0,"",_xlfn.MAXIFS('Fütterung'!$C$7:$C$2006,'Fütterung'!$A$7:$A$2006,A34,'Fütterung'!$E$7:$E$2006,"Ja")))</f>
        <v/>
      </c>
      <c r="Z34" s="67">
        <f>IF(Y34="","",TODAY()-Y34)</f>
        <v/>
      </c>
      <c r="AA34" s="65">
        <f>IF(A34="","",IF(AND(F34="männlich",H34="Adult"),"Adultes Männchen",IF(AND(Z34&lt;&gt;"",N(Z34)&gt;=FutterGrenze),"Frisst nicht",IF(U34="","Zu wenig Daten",IF(V34&gt;U34*TpM*FaktorUeber,"Überfällig",IF(V34&gt;U34*TpM*FaktorBald,"Fällig","Im Plan"))))))</f>
        <v/>
      </c>
      <c r="AB34" s="69">
        <f>IF(AND(AC34=1,W34&lt;&gt;""),N(W34)+ROW()/100000,"")</f>
        <v/>
      </c>
      <c r="AC34" s="69">
        <f>IF(A34="","",IF(SUBTOTAL(103,A34)=1,1,0))</f>
        <v/>
      </c>
    </row>
    <row r="35" ht="20" customHeight="1">
      <c r="A35" s="60" t="n"/>
      <c r="B35" s="61" t="n"/>
      <c r="C35" s="61" t="n"/>
      <c r="D35" s="61" t="n"/>
      <c r="E35" s="60" t="n"/>
      <c r="F35" s="60" t="n"/>
      <c r="G35" s="60" t="n"/>
      <c r="H35" s="60" t="n"/>
      <c r="I35" s="62" t="n"/>
      <c r="J35" s="63" t="n"/>
      <c r="K35" s="61" t="n"/>
      <c r="L35" s="64" t="n"/>
      <c r="M35" s="60" t="n"/>
      <c r="N35" s="60" t="n"/>
      <c r="O35" s="60" t="n"/>
      <c r="P35" s="61" t="n"/>
      <c r="Q35" s="61" t="n"/>
      <c r="R35" s="65">
        <f>IF(A35="","",TRIM(C35&amp;" "&amp;D35))</f>
        <v/>
      </c>
      <c r="S35" s="66">
        <f>IF(A35="","",IF(COUNTIFS('Häutungen'!$A$7:$A$1006,A35,'Häutungen'!$C$7:$C$1006,"&gt;0")=0,"",_xlfn.MAXIFS('Häutungen'!$C$7:$C$1006,'Häutungen'!$A$7:$A$1006,A35)))</f>
        <v/>
      </c>
      <c r="T35" s="67">
        <f>IF(A35="","",COUNTIFS('Häutungen'!$A$7:$A$1006,A35,'Häutungen'!$C$7:$C$1006,"&gt;0"))</f>
        <v/>
      </c>
      <c r="U35" s="68">
        <f>IF(A35="","",IF(T35&lt;2,"",IFERROR(AVERAGEIFS('Häutungen'!$J$7:$J$1006,'Häutungen'!$A$7:$A$1006,A35,'Häutungen'!$K$7:$K$1006,"&lt;3",'Häutungen'!$I$7:$I$1006,"&gt;0"),"")))</f>
        <v/>
      </c>
      <c r="V35" s="67">
        <f>IF(S35="","",TODAY()-S35)</f>
        <v/>
      </c>
      <c r="W35" s="66">
        <f>IF(OR(U35="",AND(F35="männlich",H35="Adult")),"",S35+ROUND(U35*TpM,0))</f>
        <v/>
      </c>
      <c r="X35" s="68">
        <f>IF(A35="","",IF(S35="",IF(I35="","",I35),IF(SUMIFS('Häutungen'!$D$7:$D$1006,'Häutungen'!$A$7:$A$1006,A35,'Häutungen'!$C$7:$C$1006,S35)&gt;0,SUMIFS('Häutungen'!$D$7:$D$1006,'Häutungen'!$A$7:$A$1006,A35,'Häutungen'!$C$7:$C$1006,S35),IF(I35="","",I35))))</f>
        <v/>
      </c>
      <c r="Y35" s="66">
        <f>IF(A35="","",IF(COUNTIFS('Fütterung'!$A$7:$A$2006,A35,'Fütterung'!$E$7:$E$2006,"Ja")=0,"",_xlfn.MAXIFS('Fütterung'!$C$7:$C$2006,'Fütterung'!$A$7:$A$2006,A35,'Fütterung'!$E$7:$E$2006,"Ja")))</f>
        <v/>
      </c>
      <c r="Z35" s="67">
        <f>IF(Y35="","",TODAY()-Y35)</f>
        <v/>
      </c>
      <c r="AA35" s="65">
        <f>IF(A35="","",IF(AND(F35="männlich",H35="Adult"),"Adultes Männchen",IF(AND(Z35&lt;&gt;"",N(Z35)&gt;=FutterGrenze),"Frisst nicht",IF(U35="","Zu wenig Daten",IF(V35&gt;U35*TpM*FaktorUeber,"Überfällig",IF(V35&gt;U35*TpM*FaktorBald,"Fällig","Im Plan"))))))</f>
        <v/>
      </c>
      <c r="AB35" s="69">
        <f>IF(AND(AC35=1,W35&lt;&gt;""),N(W35)+ROW()/100000,"")</f>
        <v/>
      </c>
      <c r="AC35" s="69">
        <f>IF(A35="","",IF(SUBTOTAL(103,A35)=1,1,0))</f>
        <v/>
      </c>
    </row>
    <row r="36" ht="20" customHeight="1">
      <c r="A36" s="60" t="n"/>
      <c r="B36" s="61" t="n"/>
      <c r="C36" s="61" t="n"/>
      <c r="D36" s="61" t="n"/>
      <c r="E36" s="60" t="n"/>
      <c r="F36" s="60" t="n"/>
      <c r="G36" s="60" t="n"/>
      <c r="H36" s="60" t="n"/>
      <c r="I36" s="62" t="n"/>
      <c r="J36" s="63" t="n"/>
      <c r="K36" s="61" t="n"/>
      <c r="L36" s="64" t="n"/>
      <c r="M36" s="60" t="n"/>
      <c r="N36" s="60" t="n"/>
      <c r="O36" s="60" t="n"/>
      <c r="P36" s="61" t="n"/>
      <c r="Q36" s="61" t="n"/>
      <c r="R36" s="65">
        <f>IF(A36="","",TRIM(C36&amp;" "&amp;D36))</f>
        <v/>
      </c>
      <c r="S36" s="66">
        <f>IF(A36="","",IF(COUNTIFS('Häutungen'!$A$7:$A$1006,A36,'Häutungen'!$C$7:$C$1006,"&gt;0")=0,"",_xlfn.MAXIFS('Häutungen'!$C$7:$C$1006,'Häutungen'!$A$7:$A$1006,A36)))</f>
        <v/>
      </c>
      <c r="T36" s="67">
        <f>IF(A36="","",COUNTIFS('Häutungen'!$A$7:$A$1006,A36,'Häutungen'!$C$7:$C$1006,"&gt;0"))</f>
        <v/>
      </c>
      <c r="U36" s="68">
        <f>IF(A36="","",IF(T36&lt;2,"",IFERROR(AVERAGEIFS('Häutungen'!$J$7:$J$1006,'Häutungen'!$A$7:$A$1006,A36,'Häutungen'!$K$7:$K$1006,"&lt;3",'Häutungen'!$I$7:$I$1006,"&gt;0"),"")))</f>
        <v/>
      </c>
      <c r="V36" s="67">
        <f>IF(S36="","",TODAY()-S36)</f>
        <v/>
      </c>
      <c r="W36" s="66">
        <f>IF(OR(U36="",AND(F36="männlich",H36="Adult")),"",S36+ROUND(U36*TpM,0))</f>
        <v/>
      </c>
      <c r="X36" s="68">
        <f>IF(A36="","",IF(S36="",IF(I36="","",I36),IF(SUMIFS('Häutungen'!$D$7:$D$1006,'Häutungen'!$A$7:$A$1006,A36,'Häutungen'!$C$7:$C$1006,S36)&gt;0,SUMIFS('Häutungen'!$D$7:$D$1006,'Häutungen'!$A$7:$A$1006,A36,'Häutungen'!$C$7:$C$1006,S36),IF(I36="","",I36))))</f>
        <v/>
      </c>
      <c r="Y36" s="66">
        <f>IF(A36="","",IF(COUNTIFS('Fütterung'!$A$7:$A$2006,A36,'Fütterung'!$E$7:$E$2006,"Ja")=0,"",_xlfn.MAXIFS('Fütterung'!$C$7:$C$2006,'Fütterung'!$A$7:$A$2006,A36,'Fütterung'!$E$7:$E$2006,"Ja")))</f>
        <v/>
      </c>
      <c r="Z36" s="67">
        <f>IF(Y36="","",TODAY()-Y36)</f>
        <v/>
      </c>
      <c r="AA36" s="65">
        <f>IF(A36="","",IF(AND(F36="männlich",H36="Adult"),"Adultes Männchen",IF(AND(Z36&lt;&gt;"",N(Z36)&gt;=FutterGrenze),"Frisst nicht",IF(U36="","Zu wenig Daten",IF(V36&gt;U36*TpM*FaktorUeber,"Überfällig",IF(V36&gt;U36*TpM*FaktorBald,"Fällig","Im Plan"))))))</f>
        <v/>
      </c>
      <c r="AB36" s="69">
        <f>IF(AND(AC36=1,W36&lt;&gt;""),N(W36)+ROW()/100000,"")</f>
        <v/>
      </c>
      <c r="AC36" s="69">
        <f>IF(A36="","",IF(SUBTOTAL(103,A36)=1,1,0))</f>
        <v/>
      </c>
    </row>
    <row r="37" ht="20" customHeight="1">
      <c r="A37" s="60" t="n"/>
      <c r="B37" s="61" t="n"/>
      <c r="C37" s="61" t="n"/>
      <c r="D37" s="61" t="n"/>
      <c r="E37" s="60" t="n"/>
      <c r="F37" s="60" t="n"/>
      <c r="G37" s="60" t="n"/>
      <c r="H37" s="60" t="n"/>
      <c r="I37" s="62" t="n"/>
      <c r="J37" s="63" t="n"/>
      <c r="K37" s="61" t="n"/>
      <c r="L37" s="64" t="n"/>
      <c r="M37" s="60" t="n"/>
      <c r="N37" s="60" t="n"/>
      <c r="O37" s="60" t="n"/>
      <c r="P37" s="61" t="n"/>
      <c r="Q37" s="61" t="n"/>
      <c r="R37" s="65">
        <f>IF(A37="","",TRIM(C37&amp;" "&amp;D37))</f>
        <v/>
      </c>
      <c r="S37" s="66">
        <f>IF(A37="","",IF(COUNTIFS('Häutungen'!$A$7:$A$1006,A37,'Häutungen'!$C$7:$C$1006,"&gt;0")=0,"",_xlfn.MAXIFS('Häutungen'!$C$7:$C$1006,'Häutungen'!$A$7:$A$1006,A37)))</f>
        <v/>
      </c>
      <c r="T37" s="67">
        <f>IF(A37="","",COUNTIFS('Häutungen'!$A$7:$A$1006,A37,'Häutungen'!$C$7:$C$1006,"&gt;0"))</f>
        <v/>
      </c>
      <c r="U37" s="68">
        <f>IF(A37="","",IF(T37&lt;2,"",IFERROR(AVERAGEIFS('Häutungen'!$J$7:$J$1006,'Häutungen'!$A$7:$A$1006,A37,'Häutungen'!$K$7:$K$1006,"&lt;3",'Häutungen'!$I$7:$I$1006,"&gt;0"),"")))</f>
        <v/>
      </c>
      <c r="V37" s="67">
        <f>IF(S37="","",TODAY()-S37)</f>
        <v/>
      </c>
      <c r="W37" s="66">
        <f>IF(OR(U37="",AND(F37="männlich",H37="Adult")),"",S37+ROUND(U37*TpM,0))</f>
        <v/>
      </c>
      <c r="X37" s="68">
        <f>IF(A37="","",IF(S37="",IF(I37="","",I37),IF(SUMIFS('Häutungen'!$D$7:$D$1006,'Häutungen'!$A$7:$A$1006,A37,'Häutungen'!$C$7:$C$1006,S37)&gt;0,SUMIFS('Häutungen'!$D$7:$D$1006,'Häutungen'!$A$7:$A$1006,A37,'Häutungen'!$C$7:$C$1006,S37),IF(I37="","",I37))))</f>
        <v/>
      </c>
      <c r="Y37" s="66">
        <f>IF(A37="","",IF(COUNTIFS('Fütterung'!$A$7:$A$2006,A37,'Fütterung'!$E$7:$E$2006,"Ja")=0,"",_xlfn.MAXIFS('Fütterung'!$C$7:$C$2006,'Fütterung'!$A$7:$A$2006,A37,'Fütterung'!$E$7:$E$2006,"Ja")))</f>
        <v/>
      </c>
      <c r="Z37" s="67">
        <f>IF(Y37="","",TODAY()-Y37)</f>
        <v/>
      </c>
      <c r="AA37" s="65">
        <f>IF(A37="","",IF(AND(F37="männlich",H37="Adult"),"Adultes Männchen",IF(AND(Z37&lt;&gt;"",N(Z37)&gt;=FutterGrenze),"Frisst nicht",IF(U37="","Zu wenig Daten",IF(V37&gt;U37*TpM*FaktorUeber,"Überfällig",IF(V37&gt;U37*TpM*FaktorBald,"Fällig","Im Plan"))))))</f>
        <v/>
      </c>
      <c r="AB37" s="69">
        <f>IF(AND(AC37=1,W37&lt;&gt;""),N(W37)+ROW()/100000,"")</f>
        <v/>
      </c>
      <c r="AC37" s="69">
        <f>IF(A37="","",IF(SUBTOTAL(103,A37)=1,1,0))</f>
        <v/>
      </c>
    </row>
    <row r="38" ht="20" customHeight="1">
      <c r="A38" s="60" t="n"/>
      <c r="B38" s="61" t="n"/>
      <c r="C38" s="61" t="n"/>
      <c r="D38" s="61" t="n"/>
      <c r="E38" s="60" t="n"/>
      <c r="F38" s="60" t="n"/>
      <c r="G38" s="60" t="n"/>
      <c r="H38" s="60" t="n"/>
      <c r="I38" s="62" t="n"/>
      <c r="J38" s="63" t="n"/>
      <c r="K38" s="61" t="n"/>
      <c r="L38" s="64" t="n"/>
      <c r="M38" s="60" t="n"/>
      <c r="N38" s="60" t="n"/>
      <c r="O38" s="60" t="n"/>
      <c r="P38" s="61" t="n"/>
      <c r="Q38" s="61" t="n"/>
      <c r="R38" s="65">
        <f>IF(A38="","",TRIM(C38&amp;" "&amp;D38))</f>
        <v/>
      </c>
      <c r="S38" s="66">
        <f>IF(A38="","",IF(COUNTIFS('Häutungen'!$A$7:$A$1006,A38,'Häutungen'!$C$7:$C$1006,"&gt;0")=0,"",_xlfn.MAXIFS('Häutungen'!$C$7:$C$1006,'Häutungen'!$A$7:$A$1006,A38)))</f>
        <v/>
      </c>
      <c r="T38" s="67">
        <f>IF(A38="","",COUNTIFS('Häutungen'!$A$7:$A$1006,A38,'Häutungen'!$C$7:$C$1006,"&gt;0"))</f>
        <v/>
      </c>
      <c r="U38" s="68">
        <f>IF(A38="","",IF(T38&lt;2,"",IFERROR(AVERAGEIFS('Häutungen'!$J$7:$J$1006,'Häutungen'!$A$7:$A$1006,A38,'Häutungen'!$K$7:$K$1006,"&lt;3",'Häutungen'!$I$7:$I$1006,"&gt;0"),"")))</f>
        <v/>
      </c>
      <c r="V38" s="67">
        <f>IF(S38="","",TODAY()-S38)</f>
        <v/>
      </c>
      <c r="W38" s="66">
        <f>IF(OR(U38="",AND(F38="männlich",H38="Adult")),"",S38+ROUND(U38*TpM,0))</f>
        <v/>
      </c>
      <c r="X38" s="68">
        <f>IF(A38="","",IF(S38="",IF(I38="","",I38),IF(SUMIFS('Häutungen'!$D$7:$D$1006,'Häutungen'!$A$7:$A$1006,A38,'Häutungen'!$C$7:$C$1006,S38)&gt;0,SUMIFS('Häutungen'!$D$7:$D$1006,'Häutungen'!$A$7:$A$1006,A38,'Häutungen'!$C$7:$C$1006,S38),IF(I38="","",I38))))</f>
        <v/>
      </c>
      <c r="Y38" s="66">
        <f>IF(A38="","",IF(COUNTIFS('Fütterung'!$A$7:$A$2006,A38,'Fütterung'!$E$7:$E$2006,"Ja")=0,"",_xlfn.MAXIFS('Fütterung'!$C$7:$C$2006,'Fütterung'!$A$7:$A$2006,A38,'Fütterung'!$E$7:$E$2006,"Ja")))</f>
        <v/>
      </c>
      <c r="Z38" s="67">
        <f>IF(Y38="","",TODAY()-Y38)</f>
        <v/>
      </c>
      <c r="AA38" s="65">
        <f>IF(A38="","",IF(AND(F38="männlich",H38="Adult"),"Adultes Männchen",IF(AND(Z38&lt;&gt;"",N(Z38)&gt;=FutterGrenze),"Frisst nicht",IF(U38="","Zu wenig Daten",IF(V38&gt;U38*TpM*FaktorUeber,"Überfällig",IF(V38&gt;U38*TpM*FaktorBald,"Fällig","Im Plan"))))))</f>
        <v/>
      </c>
      <c r="AB38" s="69">
        <f>IF(AND(AC38=1,W38&lt;&gt;""),N(W38)+ROW()/100000,"")</f>
        <v/>
      </c>
      <c r="AC38" s="69">
        <f>IF(A38="","",IF(SUBTOTAL(103,A38)=1,1,0))</f>
        <v/>
      </c>
    </row>
    <row r="39" ht="20" customHeight="1">
      <c r="A39" s="60" t="n"/>
      <c r="B39" s="61" t="n"/>
      <c r="C39" s="61" t="n"/>
      <c r="D39" s="61" t="n"/>
      <c r="E39" s="60" t="n"/>
      <c r="F39" s="60" t="n"/>
      <c r="G39" s="60" t="n"/>
      <c r="H39" s="60" t="n"/>
      <c r="I39" s="62" t="n"/>
      <c r="J39" s="63" t="n"/>
      <c r="K39" s="61" t="n"/>
      <c r="L39" s="64" t="n"/>
      <c r="M39" s="60" t="n"/>
      <c r="N39" s="60" t="n"/>
      <c r="O39" s="60" t="n"/>
      <c r="P39" s="61" t="n"/>
      <c r="Q39" s="61" t="n"/>
      <c r="R39" s="65">
        <f>IF(A39="","",TRIM(C39&amp;" "&amp;D39))</f>
        <v/>
      </c>
      <c r="S39" s="66">
        <f>IF(A39="","",IF(COUNTIFS('Häutungen'!$A$7:$A$1006,A39,'Häutungen'!$C$7:$C$1006,"&gt;0")=0,"",_xlfn.MAXIFS('Häutungen'!$C$7:$C$1006,'Häutungen'!$A$7:$A$1006,A39)))</f>
        <v/>
      </c>
      <c r="T39" s="67">
        <f>IF(A39="","",COUNTIFS('Häutungen'!$A$7:$A$1006,A39,'Häutungen'!$C$7:$C$1006,"&gt;0"))</f>
        <v/>
      </c>
      <c r="U39" s="68">
        <f>IF(A39="","",IF(T39&lt;2,"",IFERROR(AVERAGEIFS('Häutungen'!$J$7:$J$1006,'Häutungen'!$A$7:$A$1006,A39,'Häutungen'!$K$7:$K$1006,"&lt;3",'Häutungen'!$I$7:$I$1006,"&gt;0"),"")))</f>
        <v/>
      </c>
      <c r="V39" s="67">
        <f>IF(S39="","",TODAY()-S39)</f>
        <v/>
      </c>
      <c r="W39" s="66">
        <f>IF(OR(U39="",AND(F39="männlich",H39="Adult")),"",S39+ROUND(U39*TpM,0))</f>
        <v/>
      </c>
      <c r="X39" s="68">
        <f>IF(A39="","",IF(S39="",IF(I39="","",I39),IF(SUMIFS('Häutungen'!$D$7:$D$1006,'Häutungen'!$A$7:$A$1006,A39,'Häutungen'!$C$7:$C$1006,S39)&gt;0,SUMIFS('Häutungen'!$D$7:$D$1006,'Häutungen'!$A$7:$A$1006,A39,'Häutungen'!$C$7:$C$1006,S39),IF(I39="","",I39))))</f>
        <v/>
      </c>
      <c r="Y39" s="66">
        <f>IF(A39="","",IF(COUNTIFS('Fütterung'!$A$7:$A$2006,A39,'Fütterung'!$E$7:$E$2006,"Ja")=0,"",_xlfn.MAXIFS('Fütterung'!$C$7:$C$2006,'Fütterung'!$A$7:$A$2006,A39,'Fütterung'!$E$7:$E$2006,"Ja")))</f>
        <v/>
      </c>
      <c r="Z39" s="67">
        <f>IF(Y39="","",TODAY()-Y39)</f>
        <v/>
      </c>
      <c r="AA39" s="65">
        <f>IF(A39="","",IF(AND(F39="männlich",H39="Adult"),"Adultes Männchen",IF(AND(Z39&lt;&gt;"",N(Z39)&gt;=FutterGrenze),"Frisst nicht",IF(U39="","Zu wenig Daten",IF(V39&gt;U39*TpM*FaktorUeber,"Überfällig",IF(V39&gt;U39*TpM*FaktorBald,"Fällig","Im Plan"))))))</f>
        <v/>
      </c>
      <c r="AB39" s="69">
        <f>IF(AND(AC39=1,W39&lt;&gt;""),N(W39)+ROW()/100000,"")</f>
        <v/>
      </c>
      <c r="AC39" s="69">
        <f>IF(A39="","",IF(SUBTOTAL(103,A39)=1,1,0))</f>
        <v/>
      </c>
    </row>
    <row r="40" ht="20" customHeight="1">
      <c r="A40" s="60" t="n"/>
      <c r="B40" s="61" t="n"/>
      <c r="C40" s="61" t="n"/>
      <c r="D40" s="61" t="n"/>
      <c r="E40" s="60" t="n"/>
      <c r="F40" s="60" t="n"/>
      <c r="G40" s="60" t="n"/>
      <c r="H40" s="60" t="n"/>
      <c r="I40" s="62" t="n"/>
      <c r="J40" s="63" t="n"/>
      <c r="K40" s="61" t="n"/>
      <c r="L40" s="64" t="n"/>
      <c r="M40" s="60" t="n"/>
      <c r="N40" s="60" t="n"/>
      <c r="O40" s="60" t="n"/>
      <c r="P40" s="61" t="n"/>
      <c r="Q40" s="61" t="n"/>
      <c r="R40" s="65">
        <f>IF(A40="","",TRIM(C40&amp;" "&amp;D40))</f>
        <v/>
      </c>
      <c r="S40" s="66">
        <f>IF(A40="","",IF(COUNTIFS('Häutungen'!$A$7:$A$1006,A40,'Häutungen'!$C$7:$C$1006,"&gt;0")=0,"",_xlfn.MAXIFS('Häutungen'!$C$7:$C$1006,'Häutungen'!$A$7:$A$1006,A40)))</f>
        <v/>
      </c>
      <c r="T40" s="67">
        <f>IF(A40="","",COUNTIFS('Häutungen'!$A$7:$A$1006,A40,'Häutungen'!$C$7:$C$1006,"&gt;0"))</f>
        <v/>
      </c>
      <c r="U40" s="68">
        <f>IF(A40="","",IF(T40&lt;2,"",IFERROR(AVERAGEIFS('Häutungen'!$J$7:$J$1006,'Häutungen'!$A$7:$A$1006,A40,'Häutungen'!$K$7:$K$1006,"&lt;3",'Häutungen'!$I$7:$I$1006,"&gt;0"),"")))</f>
        <v/>
      </c>
      <c r="V40" s="67">
        <f>IF(S40="","",TODAY()-S40)</f>
        <v/>
      </c>
      <c r="W40" s="66">
        <f>IF(OR(U40="",AND(F40="männlich",H40="Adult")),"",S40+ROUND(U40*TpM,0))</f>
        <v/>
      </c>
      <c r="X40" s="68">
        <f>IF(A40="","",IF(S40="",IF(I40="","",I40),IF(SUMIFS('Häutungen'!$D$7:$D$1006,'Häutungen'!$A$7:$A$1006,A40,'Häutungen'!$C$7:$C$1006,S40)&gt;0,SUMIFS('Häutungen'!$D$7:$D$1006,'Häutungen'!$A$7:$A$1006,A40,'Häutungen'!$C$7:$C$1006,S40),IF(I40="","",I40))))</f>
        <v/>
      </c>
      <c r="Y40" s="66">
        <f>IF(A40="","",IF(COUNTIFS('Fütterung'!$A$7:$A$2006,A40,'Fütterung'!$E$7:$E$2006,"Ja")=0,"",_xlfn.MAXIFS('Fütterung'!$C$7:$C$2006,'Fütterung'!$A$7:$A$2006,A40,'Fütterung'!$E$7:$E$2006,"Ja")))</f>
        <v/>
      </c>
      <c r="Z40" s="67">
        <f>IF(Y40="","",TODAY()-Y40)</f>
        <v/>
      </c>
      <c r="AA40" s="65">
        <f>IF(A40="","",IF(AND(F40="männlich",H40="Adult"),"Adultes Männchen",IF(AND(Z40&lt;&gt;"",N(Z40)&gt;=FutterGrenze),"Frisst nicht",IF(U40="","Zu wenig Daten",IF(V40&gt;U40*TpM*FaktorUeber,"Überfällig",IF(V40&gt;U40*TpM*FaktorBald,"Fällig","Im Plan"))))))</f>
        <v/>
      </c>
      <c r="AB40" s="69">
        <f>IF(AND(AC40=1,W40&lt;&gt;""),N(W40)+ROW()/100000,"")</f>
        <v/>
      </c>
      <c r="AC40" s="69">
        <f>IF(A40="","",IF(SUBTOTAL(103,A40)=1,1,0))</f>
        <v/>
      </c>
    </row>
    <row r="41" ht="20" customHeight="1">
      <c r="A41" s="60" t="n"/>
      <c r="B41" s="61" t="n"/>
      <c r="C41" s="61" t="n"/>
      <c r="D41" s="61" t="n"/>
      <c r="E41" s="60" t="n"/>
      <c r="F41" s="60" t="n"/>
      <c r="G41" s="60" t="n"/>
      <c r="H41" s="60" t="n"/>
      <c r="I41" s="62" t="n"/>
      <c r="J41" s="63" t="n"/>
      <c r="K41" s="61" t="n"/>
      <c r="L41" s="64" t="n"/>
      <c r="M41" s="60" t="n"/>
      <c r="N41" s="60" t="n"/>
      <c r="O41" s="60" t="n"/>
      <c r="P41" s="61" t="n"/>
      <c r="Q41" s="61" t="n"/>
      <c r="R41" s="65">
        <f>IF(A41="","",TRIM(C41&amp;" "&amp;D41))</f>
        <v/>
      </c>
      <c r="S41" s="66">
        <f>IF(A41="","",IF(COUNTIFS('Häutungen'!$A$7:$A$1006,A41,'Häutungen'!$C$7:$C$1006,"&gt;0")=0,"",_xlfn.MAXIFS('Häutungen'!$C$7:$C$1006,'Häutungen'!$A$7:$A$1006,A41)))</f>
        <v/>
      </c>
      <c r="T41" s="67">
        <f>IF(A41="","",COUNTIFS('Häutungen'!$A$7:$A$1006,A41,'Häutungen'!$C$7:$C$1006,"&gt;0"))</f>
        <v/>
      </c>
      <c r="U41" s="68">
        <f>IF(A41="","",IF(T41&lt;2,"",IFERROR(AVERAGEIFS('Häutungen'!$J$7:$J$1006,'Häutungen'!$A$7:$A$1006,A41,'Häutungen'!$K$7:$K$1006,"&lt;3",'Häutungen'!$I$7:$I$1006,"&gt;0"),"")))</f>
        <v/>
      </c>
      <c r="V41" s="67">
        <f>IF(S41="","",TODAY()-S41)</f>
        <v/>
      </c>
      <c r="W41" s="66">
        <f>IF(OR(U41="",AND(F41="männlich",H41="Adult")),"",S41+ROUND(U41*TpM,0))</f>
        <v/>
      </c>
      <c r="X41" s="68">
        <f>IF(A41="","",IF(S41="",IF(I41="","",I41),IF(SUMIFS('Häutungen'!$D$7:$D$1006,'Häutungen'!$A$7:$A$1006,A41,'Häutungen'!$C$7:$C$1006,S41)&gt;0,SUMIFS('Häutungen'!$D$7:$D$1006,'Häutungen'!$A$7:$A$1006,A41,'Häutungen'!$C$7:$C$1006,S41),IF(I41="","",I41))))</f>
        <v/>
      </c>
      <c r="Y41" s="66">
        <f>IF(A41="","",IF(COUNTIFS('Fütterung'!$A$7:$A$2006,A41,'Fütterung'!$E$7:$E$2006,"Ja")=0,"",_xlfn.MAXIFS('Fütterung'!$C$7:$C$2006,'Fütterung'!$A$7:$A$2006,A41,'Fütterung'!$E$7:$E$2006,"Ja")))</f>
        <v/>
      </c>
      <c r="Z41" s="67">
        <f>IF(Y41="","",TODAY()-Y41)</f>
        <v/>
      </c>
      <c r="AA41" s="65">
        <f>IF(A41="","",IF(AND(F41="männlich",H41="Adult"),"Adultes Männchen",IF(AND(Z41&lt;&gt;"",N(Z41)&gt;=FutterGrenze),"Frisst nicht",IF(U41="","Zu wenig Daten",IF(V41&gt;U41*TpM*FaktorUeber,"Überfällig",IF(V41&gt;U41*TpM*FaktorBald,"Fällig","Im Plan"))))))</f>
        <v/>
      </c>
      <c r="AB41" s="69">
        <f>IF(AND(AC41=1,W41&lt;&gt;""),N(W41)+ROW()/100000,"")</f>
        <v/>
      </c>
      <c r="AC41" s="69">
        <f>IF(A41="","",IF(SUBTOTAL(103,A41)=1,1,0))</f>
        <v/>
      </c>
    </row>
    <row r="42" ht="20" customHeight="1">
      <c r="A42" s="60" t="n"/>
      <c r="B42" s="61" t="n"/>
      <c r="C42" s="61" t="n"/>
      <c r="D42" s="61" t="n"/>
      <c r="E42" s="60" t="n"/>
      <c r="F42" s="60" t="n"/>
      <c r="G42" s="60" t="n"/>
      <c r="H42" s="60" t="n"/>
      <c r="I42" s="62" t="n"/>
      <c r="J42" s="63" t="n"/>
      <c r="K42" s="61" t="n"/>
      <c r="L42" s="64" t="n"/>
      <c r="M42" s="60" t="n"/>
      <c r="N42" s="60" t="n"/>
      <c r="O42" s="60" t="n"/>
      <c r="P42" s="61" t="n"/>
      <c r="Q42" s="61" t="n"/>
      <c r="R42" s="65">
        <f>IF(A42="","",TRIM(C42&amp;" "&amp;D42))</f>
        <v/>
      </c>
      <c r="S42" s="66">
        <f>IF(A42="","",IF(COUNTIFS('Häutungen'!$A$7:$A$1006,A42,'Häutungen'!$C$7:$C$1006,"&gt;0")=0,"",_xlfn.MAXIFS('Häutungen'!$C$7:$C$1006,'Häutungen'!$A$7:$A$1006,A42)))</f>
        <v/>
      </c>
      <c r="T42" s="67">
        <f>IF(A42="","",COUNTIFS('Häutungen'!$A$7:$A$1006,A42,'Häutungen'!$C$7:$C$1006,"&gt;0"))</f>
        <v/>
      </c>
      <c r="U42" s="68">
        <f>IF(A42="","",IF(T42&lt;2,"",IFERROR(AVERAGEIFS('Häutungen'!$J$7:$J$1006,'Häutungen'!$A$7:$A$1006,A42,'Häutungen'!$K$7:$K$1006,"&lt;3",'Häutungen'!$I$7:$I$1006,"&gt;0"),"")))</f>
        <v/>
      </c>
      <c r="V42" s="67">
        <f>IF(S42="","",TODAY()-S42)</f>
        <v/>
      </c>
      <c r="W42" s="66">
        <f>IF(OR(U42="",AND(F42="männlich",H42="Adult")),"",S42+ROUND(U42*TpM,0))</f>
        <v/>
      </c>
      <c r="X42" s="68">
        <f>IF(A42="","",IF(S42="",IF(I42="","",I42),IF(SUMIFS('Häutungen'!$D$7:$D$1006,'Häutungen'!$A$7:$A$1006,A42,'Häutungen'!$C$7:$C$1006,S42)&gt;0,SUMIFS('Häutungen'!$D$7:$D$1006,'Häutungen'!$A$7:$A$1006,A42,'Häutungen'!$C$7:$C$1006,S42),IF(I42="","",I42))))</f>
        <v/>
      </c>
      <c r="Y42" s="66">
        <f>IF(A42="","",IF(COUNTIFS('Fütterung'!$A$7:$A$2006,A42,'Fütterung'!$E$7:$E$2006,"Ja")=0,"",_xlfn.MAXIFS('Fütterung'!$C$7:$C$2006,'Fütterung'!$A$7:$A$2006,A42,'Fütterung'!$E$7:$E$2006,"Ja")))</f>
        <v/>
      </c>
      <c r="Z42" s="67">
        <f>IF(Y42="","",TODAY()-Y42)</f>
        <v/>
      </c>
      <c r="AA42" s="65">
        <f>IF(A42="","",IF(AND(F42="männlich",H42="Adult"),"Adultes Männchen",IF(AND(Z42&lt;&gt;"",N(Z42)&gt;=FutterGrenze),"Frisst nicht",IF(U42="","Zu wenig Daten",IF(V42&gt;U42*TpM*FaktorUeber,"Überfällig",IF(V42&gt;U42*TpM*FaktorBald,"Fällig","Im Plan"))))))</f>
        <v/>
      </c>
      <c r="AB42" s="69">
        <f>IF(AND(AC42=1,W42&lt;&gt;""),N(W42)+ROW()/100000,"")</f>
        <v/>
      </c>
      <c r="AC42" s="69">
        <f>IF(A42="","",IF(SUBTOTAL(103,A42)=1,1,0))</f>
        <v/>
      </c>
    </row>
    <row r="43" ht="20" customHeight="1">
      <c r="A43" s="60" t="n"/>
      <c r="B43" s="61" t="n"/>
      <c r="C43" s="61" t="n"/>
      <c r="D43" s="61" t="n"/>
      <c r="E43" s="60" t="n"/>
      <c r="F43" s="60" t="n"/>
      <c r="G43" s="60" t="n"/>
      <c r="H43" s="60" t="n"/>
      <c r="I43" s="62" t="n"/>
      <c r="J43" s="63" t="n"/>
      <c r="K43" s="61" t="n"/>
      <c r="L43" s="64" t="n"/>
      <c r="M43" s="60" t="n"/>
      <c r="N43" s="60" t="n"/>
      <c r="O43" s="60" t="n"/>
      <c r="P43" s="61" t="n"/>
      <c r="Q43" s="61" t="n"/>
      <c r="R43" s="65">
        <f>IF(A43="","",TRIM(C43&amp;" "&amp;D43))</f>
        <v/>
      </c>
      <c r="S43" s="66">
        <f>IF(A43="","",IF(COUNTIFS('Häutungen'!$A$7:$A$1006,A43,'Häutungen'!$C$7:$C$1006,"&gt;0")=0,"",_xlfn.MAXIFS('Häutungen'!$C$7:$C$1006,'Häutungen'!$A$7:$A$1006,A43)))</f>
        <v/>
      </c>
      <c r="T43" s="67">
        <f>IF(A43="","",COUNTIFS('Häutungen'!$A$7:$A$1006,A43,'Häutungen'!$C$7:$C$1006,"&gt;0"))</f>
        <v/>
      </c>
      <c r="U43" s="68">
        <f>IF(A43="","",IF(T43&lt;2,"",IFERROR(AVERAGEIFS('Häutungen'!$J$7:$J$1006,'Häutungen'!$A$7:$A$1006,A43,'Häutungen'!$K$7:$K$1006,"&lt;3",'Häutungen'!$I$7:$I$1006,"&gt;0"),"")))</f>
        <v/>
      </c>
      <c r="V43" s="67">
        <f>IF(S43="","",TODAY()-S43)</f>
        <v/>
      </c>
      <c r="W43" s="66">
        <f>IF(OR(U43="",AND(F43="männlich",H43="Adult")),"",S43+ROUND(U43*TpM,0))</f>
        <v/>
      </c>
      <c r="X43" s="68">
        <f>IF(A43="","",IF(S43="",IF(I43="","",I43),IF(SUMIFS('Häutungen'!$D$7:$D$1006,'Häutungen'!$A$7:$A$1006,A43,'Häutungen'!$C$7:$C$1006,S43)&gt;0,SUMIFS('Häutungen'!$D$7:$D$1006,'Häutungen'!$A$7:$A$1006,A43,'Häutungen'!$C$7:$C$1006,S43),IF(I43="","",I43))))</f>
        <v/>
      </c>
      <c r="Y43" s="66">
        <f>IF(A43="","",IF(COUNTIFS('Fütterung'!$A$7:$A$2006,A43,'Fütterung'!$E$7:$E$2006,"Ja")=0,"",_xlfn.MAXIFS('Fütterung'!$C$7:$C$2006,'Fütterung'!$A$7:$A$2006,A43,'Fütterung'!$E$7:$E$2006,"Ja")))</f>
        <v/>
      </c>
      <c r="Z43" s="67">
        <f>IF(Y43="","",TODAY()-Y43)</f>
        <v/>
      </c>
      <c r="AA43" s="65">
        <f>IF(A43="","",IF(AND(F43="männlich",H43="Adult"),"Adultes Männchen",IF(AND(Z43&lt;&gt;"",N(Z43)&gt;=FutterGrenze),"Frisst nicht",IF(U43="","Zu wenig Daten",IF(V43&gt;U43*TpM*FaktorUeber,"Überfällig",IF(V43&gt;U43*TpM*FaktorBald,"Fällig","Im Plan"))))))</f>
        <v/>
      </c>
      <c r="AB43" s="69">
        <f>IF(AND(AC43=1,W43&lt;&gt;""),N(W43)+ROW()/100000,"")</f>
        <v/>
      </c>
      <c r="AC43" s="69">
        <f>IF(A43="","",IF(SUBTOTAL(103,A43)=1,1,0))</f>
        <v/>
      </c>
    </row>
    <row r="44" ht="20" customHeight="1">
      <c r="A44" s="60" t="n"/>
      <c r="B44" s="61" t="n"/>
      <c r="C44" s="61" t="n"/>
      <c r="D44" s="61" t="n"/>
      <c r="E44" s="60" t="n"/>
      <c r="F44" s="60" t="n"/>
      <c r="G44" s="60" t="n"/>
      <c r="H44" s="60" t="n"/>
      <c r="I44" s="62" t="n"/>
      <c r="J44" s="63" t="n"/>
      <c r="K44" s="61" t="n"/>
      <c r="L44" s="64" t="n"/>
      <c r="M44" s="60" t="n"/>
      <c r="N44" s="60" t="n"/>
      <c r="O44" s="60" t="n"/>
      <c r="P44" s="61" t="n"/>
      <c r="Q44" s="61" t="n"/>
      <c r="R44" s="65">
        <f>IF(A44="","",TRIM(C44&amp;" "&amp;D44))</f>
        <v/>
      </c>
      <c r="S44" s="66">
        <f>IF(A44="","",IF(COUNTIFS('Häutungen'!$A$7:$A$1006,A44,'Häutungen'!$C$7:$C$1006,"&gt;0")=0,"",_xlfn.MAXIFS('Häutungen'!$C$7:$C$1006,'Häutungen'!$A$7:$A$1006,A44)))</f>
        <v/>
      </c>
      <c r="T44" s="67">
        <f>IF(A44="","",COUNTIFS('Häutungen'!$A$7:$A$1006,A44,'Häutungen'!$C$7:$C$1006,"&gt;0"))</f>
        <v/>
      </c>
      <c r="U44" s="68">
        <f>IF(A44="","",IF(T44&lt;2,"",IFERROR(AVERAGEIFS('Häutungen'!$J$7:$J$1006,'Häutungen'!$A$7:$A$1006,A44,'Häutungen'!$K$7:$K$1006,"&lt;3",'Häutungen'!$I$7:$I$1006,"&gt;0"),"")))</f>
        <v/>
      </c>
      <c r="V44" s="67">
        <f>IF(S44="","",TODAY()-S44)</f>
        <v/>
      </c>
      <c r="W44" s="66">
        <f>IF(OR(U44="",AND(F44="männlich",H44="Adult")),"",S44+ROUND(U44*TpM,0))</f>
        <v/>
      </c>
      <c r="X44" s="68">
        <f>IF(A44="","",IF(S44="",IF(I44="","",I44),IF(SUMIFS('Häutungen'!$D$7:$D$1006,'Häutungen'!$A$7:$A$1006,A44,'Häutungen'!$C$7:$C$1006,S44)&gt;0,SUMIFS('Häutungen'!$D$7:$D$1006,'Häutungen'!$A$7:$A$1006,A44,'Häutungen'!$C$7:$C$1006,S44),IF(I44="","",I44))))</f>
        <v/>
      </c>
      <c r="Y44" s="66">
        <f>IF(A44="","",IF(COUNTIFS('Fütterung'!$A$7:$A$2006,A44,'Fütterung'!$E$7:$E$2006,"Ja")=0,"",_xlfn.MAXIFS('Fütterung'!$C$7:$C$2006,'Fütterung'!$A$7:$A$2006,A44,'Fütterung'!$E$7:$E$2006,"Ja")))</f>
        <v/>
      </c>
      <c r="Z44" s="67">
        <f>IF(Y44="","",TODAY()-Y44)</f>
        <v/>
      </c>
      <c r="AA44" s="65">
        <f>IF(A44="","",IF(AND(F44="männlich",H44="Adult"),"Adultes Männchen",IF(AND(Z44&lt;&gt;"",N(Z44)&gt;=FutterGrenze),"Frisst nicht",IF(U44="","Zu wenig Daten",IF(V44&gt;U44*TpM*FaktorUeber,"Überfällig",IF(V44&gt;U44*TpM*FaktorBald,"Fällig","Im Plan"))))))</f>
        <v/>
      </c>
      <c r="AB44" s="69">
        <f>IF(AND(AC44=1,W44&lt;&gt;""),N(W44)+ROW()/100000,"")</f>
        <v/>
      </c>
      <c r="AC44" s="69">
        <f>IF(A44="","",IF(SUBTOTAL(103,A44)=1,1,0))</f>
        <v/>
      </c>
    </row>
    <row r="45" ht="20" customHeight="1">
      <c r="A45" s="60" t="n"/>
      <c r="B45" s="61" t="n"/>
      <c r="C45" s="61" t="n"/>
      <c r="D45" s="61" t="n"/>
      <c r="E45" s="60" t="n"/>
      <c r="F45" s="60" t="n"/>
      <c r="G45" s="60" t="n"/>
      <c r="H45" s="60" t="n"/>
      <c r="I45" s="62" t="n"/>
      <c r="J45" s="63" t="n"/>
      <c r="K45" s="61" t="n"/>
      <c r="L45" s="64" t="n"/>
      <c r="M45" s="60" t="n"/>
      <c r="N45" s="60" t="n"/>
      <c r="O45" s="60" t="n"/>
      <c r="P45" s="61" t="n"/>
      <c r="Q45" s="61" t="n"/>
      <c r="R45" s="65">
        <f>IF(A45="","",TRIM(C45&amp;" "&amp;D45))</f>
        <v/>
      </c>
      <c r="S45" s="66">
        <f>IF(A45="","",IF(COUNTIFS('Häutungen'!$A$7:$A$1006,A45,'Häutungen'!$C$7:$C$1006,"&gt;0")=0,"",_xlfn.MAXIFS('Häutungen'!$C$7:$C$1006,'Häutungen'!$A$7:$A$1006,A45)))</f>
        <v/>
      </c>
      <c r="T45" s="67">
        <f>IF(A45="","",COUNTIFS('Häutungen'!$A$7:$A$1006,A45,'Häutungen'!$C$7:$C$1006,"&gt;0"))</f>
        <v/>
      </c>
      <c r="U45" s="68">
        <f>IF(A45="","",IF(T45&lt;2,"",IFERROR(AVERAGEIFS('Häutungen'!$J$7:$J$1006,'Häutungen'!$A$7:$A$1006,A45,'Häutungen'!$K$7:$K$1006,"&lt;3",'Häutungen'!$I$7:$I$1006,"&gt;0"),"")))</f>
        <v/>
      </c>
      <c r="V45" s="67">
        <f>IF(S45="","",TODAY()-S45)</f>
        <v/>
      </c>
      <c r="W45" s="66">
        <f>IF(OR(U45="",AND(F45="männlich",H45="Adult")),"",S45+ROUND(U45*TpM,0))</f>
        <v/>
      </c>
      <c r="X45" s="68">
        <f>IF(A45="","",IF(S45="",IF(I45="","",I45),IF(SUMIFS('Häutungen'!$D$7:$D$1006,'Häutungen'!$A$7:$A$1006,A45,'Häutungen'!$C$7:$C$1006,S45)&gt;0,SUMIFS('Häutungen'!$D$7:$D$1006,'Häutungen'!$A$7:$A$1006,A45,'Häutungen'!$C$7:$C$1006,S45),IF(I45="","",I45))))</f>
        <v/>
      </c>
      <c r="Y45" s="66">
        <f>IF(A45="","",IF(COUNTIFS('Fütterung'!$A$7:$A$2006,A45,'Fütterung'!$E$7:$E$2006,"Ja")=0,"",_xlfn.MAXIFS('Fütterung'!$C$7:$C$2006,'Fütterung'!$A$7:$A$2006,A45,'Fütterung'!$E$7:$E$2006,"Ja")))</f>
        <v/>
      </c>
      <c r="Z45" s="67">
        <f>IF(Y45="","",TODAY()-Y45)</f>
        <v/>
      </c>
      <c r="AA45" s="65">
        <f>IF(A45="","",IF(AND(F45="männlich",H45="Adult"),"Adultes Männchen",IF(AND(Z45&lt;&gt;"",N(Z45)&gt;=FutterGrenze),"Frisst nicht",IF(U45="","Zu wenig Daten",IF(V45&gt;U45*TpM*FaktorUeber,"Überfällig",IF(V45&gt;U45*TpM*FaktorBald,"Fällig","Im Plan"))))))</f>
        <v/>
      </c>
      <c r="AB45" s="69">
        <f>IF(AND(AC45=1,W45&lt;&gt;""),N(W45)+ROW()/100000,"")</f>
        <v/>
      </c>
      <c r="AC45" s="69">
        <f>IF(A45="","",IF(SUBTOTAL(103,A45)=1,1,0))</f>
        <v/>
      </c>
    </row>
    <row r="46" ht="20" customHeight="1">
      <c r="A46" s="60" t="n"/>
      <c r="B46" s="61" t="n"/>
      <c r="C46" s="61" t="n"/>
      <c r="D46" s="61" t="n"/>
      <c r="E46" s="60" t="n"/>
      <c r="F46" s="60" t="n"/>
      <c r="G46" s="60" t="n"/>
      <c r="H46" s="60" t="n"/>
      <c r="I46" s="62" t="n"/>
      <c r="J46" s="63" t="n"/>
      <c r="K46" s="61" t="n"/>
      <c r="L46" s="64" t="n"/>
      <c r="M46" s="60" t="n"/>
      <c r="N46" s="60" t="n"/>
      <c r="O46" s="60" t="n"/>
      <c r="P46" s="61" t="n"/>
      <c r="Q46" s="61" t="n"/>
      <c r="R46" s="65">
        <f>IF(A46="","",TRIM(C46&amp;" "&amp;D46))</f>
        <v/>
      </c>
      <c r="S46" s="66">
        <f>IF(A46="","",IF(COUNTIFS('Häutungen'!$A$7:$A$1006,A46,'Häutungen'!$C$7:$C$1006,"&gt;0")=0,"",_xlfn.MAXIFS('Häutungen'!$C$7:$C$1006,'Häutungen'!$A$7:$A$1006,A46)))</f>
        <v/>
      </c>
      <c r="T46" s="67">
        <f>IF(A46="","",COUNTIFS('Häutungen'!$A$7:$A$1006,A46,'Häutungen'!$C$7:$C$1006,"&gt;0"))</f>
        <v/>
      </c>
      <c r="U46" s="68">
        <f>IF(A46="","",IF(T46&lt;2,"",IFERROR(AVERAGEIFS('Häutungen'!$J$7:$J$1006,'Häutungen'!$A$7:$A$1006,A46,'Häutungen'!$K$7:$K$1006,"&lt;3",'Häutungen'!$I$7:$I$1006,"&gt;0"),"")))</f>
        <v/>
      </c>
      <c r="V46" s="67">
        <f>IF(S46="","",TODAY()-S46)</f>
        <v/>
      </c>
      <c r="W46" s="66">
        <f>IF(OR(U46="",AND(F46="männlich",H46="Adult")),"",S46+ROUND(U46*TpM,0))</f>
        <v/>
      </c>
      <c r="X46" s="68">
        <f>IF(A46="","",IF(S46="",IF(I46="","",I46),IF(SUMIFS('Häutungen'!$D$7:$D$1006,'Häutungen'!$A$7:$A$1006,A46,'Häutungen'!$C$7:$C$1006,S46)&gt;0,SUMIFS('Häutungen'!$D$7:$D$1006,'Häutungen'!$A$7:$A$1006,A46,'Häutungen'!$C$7:$C$1006,S46),IF(I46="","",I46))))</f>
        <v/>
      </c>
      <c r="Y46" s="66">
        <f>IF(A46="","",IF(COUNTIFS('Fütterung'!$A$7:$A$2006,A46,'Fütterung'!$E$7:$E$2006,"Ja")=0,"",_xlfn.MAXIFS('Fütterung'!$C$7:$C$2006,'Fütterung'!$A$7:$A$2006,A46,'Fütterung'!$E$7:$E$2006,"Ja")))</f>
        <v/>
      </c>
      <c r="Z46" s="67">
        <f>IF(Y46="","",TODAY()-Y46)</f>
        <v/>
      </c>
      <c r="AA46" s="65">
        <f>IF(A46="","",IF(AND(F46="männlich",H46="Adult"),"Adultes Männchen",IF(AND(Z46&lt;&gt;"",N(Z46)&gt;=FutterGrenze),"Frisst nicht",IF(U46="","Zu wenig Daten",IF(V46&gt;U46*TpM*FaktorUeber,"Überfällig",IF(V46&gt;U46*TpM*FaktorBald,"Fällig","Im Plan"))))))</f>
        <v/>
      </c>
      <c r="AB46" s="69">
        <f>IF(AND(AC46=1,W46&lt;&gt;""),N(W46)+ROW()/100000,"")</f>
        <v/>
      </c>
      <c r="AC46" s="69">
        <f>IF(A46="","",IF(SUBTOTAL(103,A46)=1,1,0))</f>
        <v/>
      </c>
    </row>
    <row r="47" ht="20" customHeight="1">
      <c r="A47" s="60" t="n"/>
      <c r="B47" s="61" t="n"/>
      <c r="C47" s="61" t="n"/>
      <c r="D47" s="61" t="n"/>
      <c r="E47" s="60" t="n"/>
      <c r="F47" s="60" t="n"/>
      <c r="G47" s="60" t="n"/>
      <c r="H47" s="60" t="n"/>
      <c r="I47" s="62" t="n"/>
      <c r="J47" s="63" t="n"/>
      <c r="K47" s="61" t="n"/>
      <c r="L47" s="64" t="n"/>
      <c r="M47" s="60" t="n"/>
      <c r="N47" s="60" t="n"/>
      <c r="O47" s="60" t="n"/>
      <c r="P47" s="61" t="n"/>
      <c r="Q47" s="61" t="n"/>
      <c r="R47" s="65">
        <f>IF(A47="","",TRIM(C47&amp;" "&amp;D47))</f>
        <v/>
      </c>
      <c r="S47" s="66">
        <f>IF(A47="","",IF(COUNTIFS('Häutungen'!$A$7:$A$1006,A47,'Häutungen'!$C$7:$C$1006,"&gt;0")=0,"",_xlfn.MAXIFS('Häutungen'!$C$7:$C$1006,'Häutungen'!$A$7:$A$1006,A47)))</f>
        <v/>
      </c>
      <c r="T47" s="67">
        <f>IF(A47="","",COUNTIFS('Häutungen'!$A$7:$A$1006,A47,'Häutungen'!$C$7:$C$1006,"&gt;0"))</f>
        <v/>
      </c>
      <c r="U47" s="68">
        <f>IF(A47="","",IF(T47&lt;2,"",IFERROR(AVERAGEIFS('Häutungen'!$J$7:$J$1006,'Häutungen'!$A$7:$A$1006,A47,'Häutungen'!$K$7:$K$1006,"&lt;3",'Häutungen'!$I$7:$I$1006,"&gt;0"),"")))</f>
        <v/>
      </c>
      <c r="V47" s="67">
        <f>IF(S47="","",TODAY()-S47)</f>
        <v/>
      </c>
      <c r="W47" s="66">
        <f>IF(OR(U47="",AND(F47="männlich",H47="Adult")),"",S47+ROUND(U47*TpM,0))</f>
        <v/>
      </c>
      <c r="X47" s="68">
        <f>IF(A47="","",IF(S47="",IF(I47="","",I47),IF(SUMIFS('Häutungen'!$D$7:$D$1006,'Häutungen'!$A$7:$A$1006,A47,'Häutungen'!$C$7:$C$1006,S47)&gt;0,SUMIFS('Häutungen'!$D$7:$D$1006,'Häutungen'!$A$7:$A$1006,A47,'Häutungen'!$C$7:$C$1006,S47),IF(I47="","",I47))))</f>
        <v/>
      </c>
      <c r="Y47" s="66">
        <f>IF(A47="","",IF(COUNTIFS('Fütterung'!$A$7:$A$2006,A47,'Fütterung'!$E$7:$E$2006,"Ja")=0,"",_xlfn.MAXIFS('Fütterung'!$C$7:$C$2006,'Fütterung'!$A$7:$A$2006,A47,'Fütterung'!$E$7:$E$2006,"Ja")))</f>
        <v/>
      </c>
      <c r="Z47" s="67">
        <f>IF(Y47="","",TODAY()-Y47)</f>
        <v/>
      </c>
      <c r="AA47" s="65">
        <f>IF(A47="","",IF(AND(F47="männlich",H47="Adult"),"Adultes Männchen",IF(AND(Z47&lt;&gt;"",N(Z47)&gt;=FutterGrenze),"Frisst nicht",IF(U47="","Zu wenig Daten",IF(V47&gt;U47*TpM*FaktorUeber,"Überfällig",IF(V47&gt;U47*TpM*FaktorBald,"Fällig","Im Plan"))))))</f>
        <v/>
      </c>
      <c r="AB47" s="69">
        <f>IF(AND(AC47=1,W47&lt;&gt;""),N(W47)+ROW()/100000,"")</f>
        <v/>
      </c>
      <c r="AC47" s="69">
        <f>IF(A47="","",IF(SUBTOTAL(103,A47)=1,1,0))</f>
        <v/>
      </c>
    </row>
    <row r="48" ht="20" customHeight="1">
      <c r="A48" s="60" t="n"/>
      <c r="B48" s="61" t="n"/>
      <c r="C48" s="61" t="n"/>
      <c r="D48" s="61" t="n"/>
      <c r="E48" s="60" t="n"/>
      <c r="F48" s="60" t="n"/>
      <c r="G48" s="60" t="n"/>
      <c r="H48" s="60" t="n"/>
      <c r="I48" s="62" t="n"/>
      <c r="J48" s="63" t="n"/>
      <c r="K48" s="61" t="n"/>
      <c r="L48" s="64" t="n"/>
      <c r="M48" s="60" t="n"/>
      <c r="N48" s="60" t="n"/>
      <c r="O48" s="60" t="n"/>
      <c r="P48" s="61" t="n"/>
      <c r="Q48" s="61" t="n"/>
      <c r="R48" s="65">
        <f>IF(A48="","",TRIM(C48&amp;" "&amp;D48))</f>
        <v/>
      </c>
      <c r="S48" s="66">
        <f>IF(A48="","",IF(COUNTIFS('Häutungen'!$A$7:$A$1006,A48,'Häutungen'!$C$7:$C$1006,"&gt;0")=0,"",_xlfn.MAXIFS('Häutungen'!$C$7:$C$1006,'Häutungen'!$A$7:$A$1006,A48)))</f>
        <v/>
      </c>
      <c r="T48" s="67">
        <f>IF(A48="","",COUNTIFS('Häutungen'!$A$7:$A$1006,A48,'Häutungen'!$C$7:$C$1006,"&gt;0"))</f>
        <v/>
      </c>
      <c r="U48" s="68">
        <f>IF(A48="","",IF(T48&lt;2,"",IFERROR(AVERAGEIFS('Häutungen'!$J$7:$J$1006,'Häutungen'!$A$7:$A$1006,A48,'Häutungen'!$K$7:$K$1006,"&lt;3",'Häutungen'!$I$7:$I$1006,"&gt;0"),"")))</f>
        <v/>
      </c>
      <c r="V48" s="67">
        <f>IF(S48="","",TODAY()-S48)</f>
        <v/>
      </c>
      <c r="W48" s="66">
        <f>IF(OR(U48="",AND(F48="männlich",H48="Adult")),"",S48+ROUND(U48*TpM,0))</f>
        <v/>
      </c>
      <c r="X48" s="68">
        <f>IF(A48="","",IF(S48="",IF(I48="","",I48),IF(SUMIFS('Häutungen'!$D$7:$D$1006,'Häutungen'!$A$7:$A$1006,A48,'Häutungen'!$C$7:$C$1006,S48)&gt;0,SUMIFS('Häutungen'!$D$7:$D$1006,'Häutungen'!$A$7:$A$1006,A48,'Häutungen'!$C$7:$C$1006,S48),IF(I48="","",I48))))</f>
        <v/>
      </c>
      <c r="Y48" s="66">
        <f>IF(A48="","",IF(COUNTIFS('Fütterung'!$A$7:$A$2006,A48,'Fütterung'!$E$7:$E$2006,"Ja")=0,"",_xlfn.MAXIFS('Fütterung'!$C$7:$C$2006,'Fütterung'!$A$7:$A$2006,A48,'Fütterung'!$E$7:$E$2006,"Ja")))</f>
        <v/>
      </c>
      <c r="Z48" s="67">
        <f>IF(Y48="","",TODAY()-Y48)</f>
        <v/>
      </c>
      <c r="AA48" s="65">
        <f>IF(A48="","",IF(AND(F48="männlich",H48="Adult"),"Adultes Männchen",IF(AND(Z48&lt;&gt;"",N(Z48)&gt;=FutterGrenze),"Frisst nicht",IF(U48="","Zu wenig Daten",IF(V48&gt;U48*TpM*FaktorUeber,"Überfällig",IF(V48&gt;U48*TpM*FaktorBald,"Fällig","Im Plan"))))))</f>
        <v/>
      </c>
      <c r="AB48" s="69">
        <f>IF(AND(AC48=1,W48&lt;&gt;""),N(W48)+ROW()/100000,"")</f>
        <v/>
      </c>
      <c r="AC48" s="69">
        <f>IF(A48="","",IF(SUBTOTAL(103,A48)=1,1,0))</f>
        <v/>
      </c>
    </row>
    <row r="49" ht="20" customHeight="1">
      <c r="A49" s="60" t="n"/>
      <c r="B49" s="61" t="n"/>
      <c r="C49" s="61" t="n"/>
      <c r="D49" s="61" t="n"/>
      <c r="E49" s="60" t="n"/>
      <c r="F49" s="60" t="n"/>
      <c r="G49" s="60" t="n"/>
      <c r="H49" s="60" t="n"/>
      <c r="I49" s="62" t="n"/>
      <c r="J49" s="63" t="n"/>
      <c r="K49" s="61" t="n"/>
      <c r="L49" s="64" t="n"/>
      <c r="M49" s="60" t="n"/>
      <c r="N49" s="60" t="n"/>
      <c r="O49" s="60" t="n"/>
      <c r="P49" s="61" t="n"/>
      <c r="Q49" s="61" t="n"/>
      <c r="R49" s="65">
        <f>IF(A49="","",TRIM(C49&amp;" "&amp;D49))</f>
        <v/>
      </c>
      <c r="S49" s="66">
        <f>IF(A49="","",IF(COUNTIFS('Häutungen'!$A$7:$A$1006,A49,'Häutungen'!$C$7:$C$1006,"&gt;0")=0,"",_xlfn.MAXIFS('Häutungen'!$C$7:$C$1006,'Häutungen'!$A$7:$A$1006,A49)))</f>
        <v/>
      </c>
      <c r="T49" s="67">
        <f>IF(A49="","",COUNTIFS('Häutungen'!$A$7:$A$1006,A49,'Häutungen'!$C$7:$C$1006,"&gt;0"))</f>
        <v/>
      </c>
      <c r="U49" s="68">
        <f>IF(A49="","",IF(T49&lt;2,"",IFERROR(AVERAGEIFS('Häutungen'!$J$7:$J$1006,'Häutungen'!$A$7:$A$1006,A49,'Häutungen'!$K$7:$K$1006,"&lt;3",'Häutungen'!$I$7:$I$1006,"&gt;0"),"")))</f>
        <v/>
      </c>
      <c r="V49" s="67">
        <f>IF(S49="","",TODAY()-S49)</f>
        <v/>
      </c>
      <c r="W49" s="66">
        <f>IF(OR(U49="",AND(F49="männlich",H49="Adult")),"",S49+ROUND(U49*TpM,0))</f>
        <v/>
      </c>
      <c r="X49" s="68">
        <f>IF(A49="","",IF(S49="",IF(I49="","",I49),IF(SUMIFS('Häutungen'!$D$7:$D$1006,'Häutungen'!$A$7:$A$1006,A49,'Häutungen'!$C$7:$C$1006,S49)&gt;0,SUMIFS('Häutungen'!$D$7:$D$1006,'Häutungen'!$A$7:$A$1006,A49,'Häutungen'!$C$7:$C$1006,S49),IF(I49="","",I49))))</f>
        <v/>
      </c>
      <c r="Y49" s="66">
        <f>IF(A49="","",IF(COUNTIFS('Fütterung'!$A$7:$A$2006,A49,'Fütterung'!$E$7:$E$2006,"Ja")=0,"",_xlfn.MAXIFS('Fütterung'!$C$7:$C$2006,'Fütterung'!$A$7:$A$2006,A49,'Fütterung'!$E$7:$E$2006,"Ja")))</f>
        <v/>
      </c>
      <c r="Z49" s="67">
        <f>IF(Y49="","",TODAY()-Y49)</f>
        <v/>
      </c>
      <c r="AA49" s="65">
        <f>IF(A49="","",IF(AND(F49="männlich",H49="Adult"),"Adultes Männchen",IF(AND(Z49&lt;&gt;"",N(Z49)&gt;=FutterGrenze),"Frisst nicht",IF(U49="","Zu wenig Daten",IF(V49&gt;U49*TpM*FaktorUeber,"Überfällig",IF(V49&gt;U49*TpM*FaktorBald,"Fällig","Im Plan"))))))</f>
        <v/>
      </c>
      <c r="AB49" s="69">
        <f>IF(AND(AC49=1,W49&lt;&gt;""),N(W49)+ROW()/100000,"")</f>
        <v/>
      </c>
      <c r="AC49" s="69">
        <f>IF(A49="","",IF(SUBTOTAL(103,A49)=1,1,0))</f>
        <v/>
      </c>
    </row>
    <row r="50" ht="20" customHeight="1">
      <c r="A50" s="60" t="n"/>
      <c r="B50" s="61" t="n"/>
      <c r="C50" s="61" t="n"/>
      <c r="D50" s="61" t="n"/>
      <c r="E50" s="60" t="n"/>
      <c r="F50" s="60" t="n"/>
      <c r="G50" s="60" t="n"/>
      <c r="H50" s="60" t="n"/>
      <c r="I50" s="62" t="n"/>
      <c r="J50" s="63" t="n"/>
      <c r="K50" s="61" t="n"/>
      <c r="L50" s="64" t="n"/>
      <c r="M50" s="60" t="n"/>
      <c r="N50" s="60" t="n"/>
      <c r="O50" s="60" t="n"/>
      <c r="P50" s="61" t="n"/>
      <c r="Q50" s="61" t="n"/>
      <c r="R50" s="65">
        <f>IF(A50="","",TRIM(C50&amp;" "&amp;D50))</f>
        <v/>
      </c>
      <c r="S50" s="66">
        <f>IF(A50="","",IF(COUNTIFS('Häutungen'!$A$7:$A$1006,A50,'Häutungen'!$C$7:$C$1006,"&gt;0")=0,"",_xlfn.MAXIFS('Häutungen'!$C$7:$C$1006,'Häutungen'!$A$7:$A$1006,A50)))</f>
        <v/>
      </c>
      <c r="T50" s="67">
        <f>IF(A50="","",COUNTIFS('Häutungen'!$A$7:$A$1006,A50,'Häutungen'!$C$7:$C$1006,"&gt;0"))</f>
        <v/>
      </c>
      <c r="U50" s="68">
        <f>IF(A50="","",IF(T50&lt;2,"",IFERROR(AVERAGEIFS('Häutungen'!$J$7:$J$1006,'Häutungen'!$A$7:$A$1006,A50,'Häutungen'!$K$7:$K$1006,"&lt;3",'Häutungen'!$I$7:$I$1006,"&gt;0"),"")))</f>
        <v/>
      </c>
      <c r="V50" s="67">
        <f>IF(S50="","",TODAY()-S50)</f>
        <v/>
      </c>
      <c r="W50" s="66">
        <f>IF(OR(U50="",AND(F50="männlich",H50="Adult")),"",S50+ROUND(U50*TpM,0))</f>
        <v/>
      </c>
      <c r="X50" s="68">
        <f>IF(A50="","",IF(S50="",IF(I50="","",I50),IF(SUMIFS('Häutungen'!$D$7:$D$1006,'Häutungen'!$A$7:$A$1006,A50,'Häutungen'!$C$7:$C$1006,S50)&gt;0,SUMIFS('Häutungen'!$D$7:$D$1006,'Häutungen'!$A$7:$A$1006,A50,'Häutungen'!$C$7:$C$1006,S50),IF(I50="","",I50))))</f>
        <v/>
      </c>
      <c r="Y50" s="66">
        <f>IF(A50="","",IF(COUNTIFS('Fütterung'!$A$7:$A$2006,A50,'Fütterung'!$E$7:$E$2006,"Ja")=0,"",_xlfn.MAXIFS('Fütterung'!$C$7:$C$2006,'Fütterung'!$A$7:$A$2006,A50,'Fütterung'!$E$7:$E$2006,"Ja")))</f>
        <v/>
      </c>
      <c r="Z50" s="67">
        <f>IF(Y50="","",TODAY()-Y50)</f>
        <v/>
      </c>
      <c r="AA50" s="65">
        <f>IF(A50="","",IF(AND(F50="männlich",H50="Adult"),"Adultes Männchen",IF(AND(Z50&lt;&gt;"",N(Z50)&gt;=FutterGrenze),"Frisst nicht",IF(U50="","Zu wenig Daten",IF(V50&gt;U50*TpM*FaktorUeber,"Überfällig",IF(V50&gt;U50*TpM*FaktorBald,"Fällig","Im Plan"))))))</f>
        <v/>
      </c>
      <c r="AB50" s="69">
        <f>IF(AND(AC50=1,W50&lt;&gt;""),N(W50)+ROW()/100000,"")</f>
        <v/>
      </c>
      <c r="AC50" s="69">
        <f>IF(A50="","",IF(SUBTOTAL(103,A50)=1,1,0))</f>
        <v/>
      </c>
    </row>
    <row r="51" ht="20" customHeight="1">
      <c r="A51" s="60" t="n"/>
      <c r="B51" s="61" t="n"/>
      <c r="C51" s="61" t="n"/>
      <c r="D51" s="61" t="n"/>
      <c r="E51" s="60" t="n"/>
      <c r="F51" s="60" t="n"/>
      <c r="G51" s="60" t="n"/>
      <c r="H51" s="60" t="n"/>
      <c r="I51" s="62" t="n"/>
      <c r="J51" s="63" t="n"/>
      <c r="K51" s="61" t="n"/>
      <c r="L51" s="64" t="n"/>
      <c r="M51" s="60" t="n"/>
      <c r="N51" s="60" t="n"/>
      <c r="O51" s="60" t="n"/>
      <c r="P51" s="61" t="n"/>
      <c r="Q51" s="61" t="n"/>
      <c r="R51" s="65">
        <f>IF(A51="","",TRIM(C51&amp;" "&amp;D51))</f>
        <v/>
      </c>
      <c r="S51" s="66">
        <f>IF(A51="","",IF(COUNTIFS('Häutungen'!$A$7:$A$1006,A51,'Häutungen'!$C$7:$C$1006,"&gt;0")=0,"",_xlfn.MAXIFS('Häutungen'!$C$7:$C$1006,'Häutungen'!$A$7:$A$1006,A51)))</f>
        <v/>
      </c>
      <c r="T51" s="67">
        <f>IF(A51="","",COUNTIFS('Häutungen'!$A$7:$A$1006,A51,'Häutungen'!$C$7:$C$1006,"&gt;0"))</f>
        <v/>
      </c>
      <c r="U51" s="68">
        <f>IF(A51="","",IF(T51&lt;2,"",IFERROR(AVERAGEIFS('Häutungen'!$J$7:$J$1006,'Häutungen'!$A$7:$A$1006,A51,'Häutungen'!$K$7:$K$1006,"&lt;3",'Häutungen'!$I$7:$I$1006,"&gt;0"),"")))</f>
        <v/>
      </c>
      <c r="V51" s="67">
        <f>IF(S51="","",TODAY()-S51)</f>
        <v/>
      </c>
      <c r="W51" s="66">
        <f>IF(OR(U51="",AND(F51="männlich",H51="Adult")),"",S51+ROUND(U51*TpM,0))</f>
        <v/>
      </c>
      <c r="X51" s="68">
        <f>IF(A51="","",IF(S51="",IF(I51="","",I51),IF(SUMIFS('Häutungen'!$D$7:$D$1006,'Häutungen'!$A$7:$A$1006,A51,'Häutungen'!$C$7:$C$1006,S51)&gt;0,SUMIFS('Häutungen'!$D$7:$D$1006,'Häutungen'!$A$7:$A$1006,A51,'Häutungen'!$C$7:$C$1006,S51),IF(I51="","",I51))))</f>
        <v/>
      </c>
      <c r="Y51" s="66">
        <f>IF(A51="","",IF(COUNTIFS('Fütterung'!$A$7:$A$2006,A51,'Fütterung'!$E$7:$E$2006,"Ja")=0,"",_xlfn.MAXIFS('Fütterung'!$C$7:$C$2006,'Fütterung'!$A$7:$A$2006,A51,'Fütterung'!$E$7:$E$2006,"Ja")))</f>
        <v/>
      </c>
      <c r="Z51" s="67">
        <f>IF(Y51="","",TODAY()-Y51)</f>
        <v/>
      </c>
      <c r="AA51" s="65">
        <f>IF(A51="","",IF(AND(F51="männlich",H51="Adult"),"Adultes Männchen",IF(AND(Z51&lt;&gt;"",N(Z51)&gt;=FutterGrenze),"Frisst nicht",IF(U51="","Zu wenig Daten",IF(V51&gt;U51*TpM*FaktorUeber,"Überfällig",IF(V51&gt;U51*TpM*FaktorBald,"Fällig","Im Plan"))))))</f>
        <v/>
      </c>
      <c r="AB51" s="69">
        <f>IF(AND(AC51=1,W51&lt;&gt;""),N(W51)+ROW()/100000,"")</f>
        <v/>
      </c>
      <c r="AC51" s="69">
        <f>IF(A51="","",IF(SUBTOTAL(103,A51)=1,1,0))</f>
        <v/>
      </c>
    </row>
    <row r="52" ht="20" customHeight="1">
      <c r="A52" s="60" t="n"/>
      <c r="B52" s="61" t="n"/>
      <c r="C52" s="61" t="n"/>
      <c r="D52" s="61" t="n"/>
      <c r="E52" s="60" t="n"/>
      <c r="F52" s="60" t="n"/>
      <c r="G52" s="60" t="n"/>
      <c r="H52" s="60" t="n"/>
      <c r="I52" s="62" t="n"/>
      <c r="J52" s="63" t="n"/>
      <c r="K52" s="61" t="n"/>
      <c r="L52" s="64" t="n"/>
      <c r="M52" s="60" t="n"/>
      <c r="N52" s="60" t="n"/>
      <c r="O52" s="60" t="n"/>
      <c r="P52" s="61" t="n"/>
      <c r="Q52" s="61" t="n"/>
      <c r="R52" s="65">
        <f>IF(A52="","",TRIM(C52&amp;" "&amp;D52))</f>
        <v/>
      </c>
      <c r="S52" s="66">
        <f>IF(A52="","",IF(COUNTIFS('Häutungen'!$A$7:$A$1006,A52,'Häutungen'!$C$7:$C$1006,"&gt;0")=0,"",_xlfn.MAXIFS('Häutungen'!$C$7:$C$1006,'Häutungen'!$A$7:$A$1006,A52)))</f>
        <v/>
      </c>
      <c r="T52" s="67">
        <f>IF(A52="","",COUNTIFS('Häutungen'!$A$7:$A$1006,A52,'Häutungen'!$C$7:$C$1006,"&gt;0"))</f>
        <v/>
      </c>
      <c r="U52" s="68">
        <f>IF(A52="","",IF(T52&lt;2,"",IFERROR(AVERAGEIFS('Häutungen'!$J$7:$J$1006,'Häutungen'!$A$7:$A$1006,A52,'Häutungen'!$K$7:$K$1006,"&lt;3",'Häutungen'!$I$7:$I$1006,"&gt;0"),"")))</f>
        <v/>
      </c>
      <c r="V52" s="67">
        <f>IF(S52="","",TODAY()-S52)</f>
        <v/>
      </c>
      <c r="W52" s="66">
        <f>IF(OR(U52="",AND(F52="männlich",H52="Adult")),"",S52+ROUND(U52*TpM,0))</f>
        <v/>
      </c>
      <c r="X52" s="68">
        <f>IF(A52="","",IF(S52="",IF(I52="","",I52),IF(SUMIFS('Häutungen'!$D$7:$D$1006,'Häutungen'!$A$7:$A$1006,A52,'Häutungen'!$C$7:$C$1006,S52)&gt;0,SUMIFS('Häutungen'!$D$7:$D$1006,'Häutungen'!$A$7:$A$1006,A52,'Häutungen'!$C$7:$C$1006,S52),IF(I52="","",I52))))</f>
        <v/>
      </c>
      <c r="Y52" s="66">
        <f>IF(A52="","",IF(COUNTIFS('Fütterung'!$A$7:$A$2006,A52,'Fütterung'!$E$7:$E$2006,"Ja")=0,"",_xlfn.MAXIFS('Fütterung'!$C$7:$C$2006,'Fütterung'!$A$7:$A$2006,A52,'Fütterung'!$E$7:$E$2006,"Ja")))</f>
        <v/>
      </c>
      <c r="Z52" s="67">
        <f>IF(Y52="","",TODAY()-Y52)</f>
        <v/>
      </c>
      <c r="AA52" s="65">
        <f>IF(A52="","",IF(AND(F52="männlich",H52="Adult"),"Adultes Männchen",IF(AND(Z52&lt;&gt;"",N(Z52)&gt;=FutterGrenze),"Frisst nicht",IF(U52="","Zu wenig Daten",IF(V52&gt;U52*TpM*FaktorUeber,"Überfällig",IF(V52&gt;U52*TpM*FaktorBald,"Fällig","Im Plan"))))))</f>
        <v/>
      </c>
      <c r="AB52" s="69">
        <f>IF(AND(AC52=1,W52&lt;&gt;""),N(W52)+ROW()/100000,"")</f>
        <v/>
      </c>
      <c r="AC52" s="69">
        <f>IF(A52="","",IF(SUBTOTAL(103,A52)=1,1,0))</f>
        <v/>
      </c>
    </row>
    <row r="53" ht="20" customHeight="1">
      <c r="A53" s="60" t="n"/>
      <c r="B53" s="61" t="n"/>
      <c r="C53" s="61" t="n"/>
      <c r="D53" s="61" t="n"/>
      <c r="E53" s="60" t="n"/>
      <c r="F53" s="60" t="n"/>
      <c r="G53" s="60" t="n"/>
      <c r="H53" s="60" t="n"/>
      <c r="I53" s="62" t="n"/>
      <c r="J53" s="63" t="n"/>
      <c r="K53" s="61" t="n"/>
      <c r="L53" s="64" t="n"/>
      <c r="M53" s="60" t="n"/>
      <c r="N53" s="60" t="n"/>
      <c r="O53" s="60" t="n"/>
      <c r="P53" s="61" t="n"/>
      <c r="Q53" s="61" t="n"/>
      <c r="R53" s="65">
        <f>IF(A53="","",TRIM(C53&amp;" "&amp;D53))</f>
        <v/>
      </c>
      <c r="S53" s="66">
        <f>IF(A53="","",IF(COUNTIFS('Häutungen'!$A$7:$A$1006,A53,'Häutungen'!$C$7:$C$1006,"&gt;0")=0,"",_xlfn.MAXIFS('Häutungen'!$C$7:$C$1006,'Häutungen'!$A$7:$A$1006,A53)))</f>
        <v/>
      </c>
      <c r="T53" s="67">
        <f>IF(A53="","",COUNTIFS('Häutungen'!$A$7:$A$1006,A53,'Häutungen'!$C$7:$C$1006,"&gt;0"))</f>
        <v/>
      </c>
      <c r="U53" s="68">
        <f>IF(A53="","",IF(T53&lt;2,"",IFERROR(AVERAGEIFS('Häutungen'!$J$7:$J$1006,'Häutungen'!$A$7:$A$1006,A53,'Häutungen'!$K$7:$K$1006,"&lt;3",'Häutungen'!$I$7:$I$1006,"&gt;0"),"")))</f>
        <v/>
      </c>
      <c r="V53" s="67">
        <f>IF(S53="","",TODAY()-S53)</f>
        <v/>
      </c>
      <c r="W53" s="66">
        <f>IF(OR(U53="",AND(F53="männlich",H53="Adult")),"",S53+ROUND(U53*TpM,0))</f>
        <v/>
      </c>
      <c r="X53" s="68">
        <f>IF(A53="","",IF(S53="",IF(I53="","",I53),IF(SUMIFS('Häutungen'!$D$7:$D$1006,'Häutungen'!$A$7:$A$1006,A53,'Häutungen'!$C$7:$C$1006,S53)&gt;0,SUMIFS('Häutungen'!$D$7:$D$1006,'Häutungen'!$A$7:$A$1006,A53,'Häutungen'!$C$7:$C$1006,S53),IF(I53="","",I53))))</f>
        <v/>
      </c>
      <c r="Y53" s="66">
        <f>IF(A53="","",IF(COUNTIFS('Fütterung'!$A$7:$A$2006,A53,'Fütterung'!$E$7:$E$2006,"Ja")=0,"",_xlfn.MAXIFS('Fütterung'!$C$7:$C$2006,'Fütterung'!$A$7:$A$2006,A53,'Fütterung'!$E$7:$E$2006,"Ja")))</f>
        <v/>
      </c>
      <c r="Z53" s="67">
        <f>IF(Y53="","",TODAY()-Y53)</f>
        <v/>
      </c>
      <c r="AA53" s="65">
        <f>IF(A53="","",IF(AND(F53="männlich",H53="Adult"),"Adultes Männchen",IF(AND(Z53&lt;&gt;"",N(Z53)&gt;=FutterGrenze),"Frisst nicht",IF(U53="","Zu wenig Daten",IF(V53&gt;U53*TpM*FaktorUeber,"Überfällig",IF(V53&gt;U53*TpM*FaktorBald,"Fällig","Im Plan"))))))</f>
        <v/>
      </c>
      <c r="AB53" s="69">
        <f>IF(AND(AC53=1,W53&lt;&gt;""),N(W53)+ROW()/100000,"")</f>
        <v/>
      </c>
      <c r="AC53" s="69">
        <f>IF(A53="","",IF(SUBTOTAL(103,A53)=1,1,0))</f>
        <v/>
      </c>
    </row>
    <row r="54" ht="20" customHeight="1">
      <c r="A54" s="60" t="n"/>
      <c r="B54" s="61" t="n"/>
      <c r="C54" s="61" t="n"/>
      <c r="D54" s="61" t="n"/>
      <c r="E54" s="60" t="n"/>
      <c r="F54" s="60" t="n"/>
      <c r="G54" s="60" t="n"/>
      <c r="H54" s="60" t="n"/>
      <c r="I54" s="62" t="n"/>
      <c r="J54" s="63" t="n"/>
      <c r="K54" s="61" t="n"/>
      <c r="L54" s="64" t="n"/>
      <c r="M54" s="60" t="n"/>
      <c r="N54" s="60" t="n"/>
      <c r="O54" s="60" t="n"/>
      <c r="P54" s="61" t="n"/>
      <c r="Q54" s="61" t="n"/>
      <c r="R54" s="65">
        <f>IF(A54="","",TRIM(C54&amp;" "&amp;D54))</f>
        <v/>
      </c>
      <c r="S54" s="66">
        <f>IF(A54="","",IF(COUNTIFS('Häutungen'!$A$7:$A$1006,A54,'Häutungen'!$C$7:$C$1006,"&gt;0")=0,"",_xlfn.MAXIFS('Häutungen'!$C$7:$C$1006,'Häutungen'!$A$7:$A$1006,A54)))</f>
        <v/>
      </c>
      <c r="T54" s="67">
        <f>IF(A54="","",COUNTIFS('Häutungen'!$A$7:$A$1006,A54,'Häutungen'!$C$7:$C$1006,"&gt;0"))</f>
        <v/>
      </c>
      <c r="U54" s="68">
        <f>IF(A54="","",IF(T54&lt;2,"",IFERROR(AVERAGEIFS('Häutungen'!$J$7:$J$1006,'Häutungen'!$A$7:$A$1006,A54,'Häutungen'!$K$7:$K$1006,"&lt;3",'Häutungen'!$I$7:$I$1006,"&gt;0"),"")))</f>
        <v/>
      </c>
      <c r="V54" s="67">
        <f>IF(S54="","",TODAY()-S54)</f>
        <v/>
      </c>
      <c r="W54" s="66">
        <f>IF(OR(U54="",AND(F54="männlich",H54="Adult")),"",S54+ROUND(U54*TpM,0))</f>
        <v/>
      </c>
      <c r="X54" s="68">
        <f>IF(A54="","",IF(S54="",IF(I54="","",I54),IF(SUMIFS('Häutungen'!$D$7:$D$1006,'Häutungen'!$A$7:$A$1006,A54,'Häutungen'!$C$7:$C$1006,S54)&gt;0,SUMIFS('Häutungen'!$D$7:$D$1006,'Häutungen'!$A$7:$A$1006,A54,'Häutungen'!$C$7:$C$1006,S54),IF(I54="","",I54))))</f>
        <v/>
      </c>
      <c r="Y54" s="66">
        <f>IF(A54="","",IF(COUNTIFS('Fütterung'!$A$7:$A$2006,A54,'Fütterung'!$E$7:$E$2006,"Ja")=0,"",_xlfn.MAXIFS('Fütterung'!$C$7:$C$2006,'Fütterung'!$A$7:$A$2006,A54,'Fütterung'!$E$7:$E$2006,"Ja")))</f>
        <v/>
      </c>
      <c r="Z54" s="67">
        <f>IF(Y54="","",TODAY()-Y54)</f>
        <v/>
      </c>
      <c r="AA54" s="65">
        <f>IF(A54="","",IF(AND(F54="männlich",H54="Adult"),"Adultes Männchen",IF(AND(Z54&lt;&gt;"",N(Z54)&gt;=FutterGrenze),"Frisst nicht",IF(U54="","Zu wenig Daten",IF(V54&gt;U54*TpM*FaktorUeber,"Überfällig",IF(V54&gt;U54*TpM*FaktorBald,"Fällig","Im Plan"))))))</f>
        <v/>
      </c>
      <c r="AB54" s="69">
        <f>IF(AND(AC54=1,W54&lt;&gt;""),N(W54)+ROW()/100000,"")</f>
        <v/>
      </c>
      <c r="AC54" s="69">
        <f>IF(A54="","",IF(SUBTOTAL(103,A54)=1,1,0))</f>
        <v/>
      </c>
    </row>
    <row r="55" ht="20" customHeight="1">
      <c r="A55" s="60" t="n"/>
      <c r="B55" s="61" t="n"/>
      <c r="C55" s="61" t="n"/>
      <c r="D55" s="61" t="n"/>
      <c r="E55" s="60" t="n"/>
      <c r="F55" s="60" t="n"/>
      <c r="G55" s="60" t="n"/>
      <c r="H55" s="60" t="n"/>
      <c r="I55" s="62" t="n"/>
      <c r="J55" s="63" t="n"/>
      <c r="K55" s="61" t="n"/>
      <c r="L55" s="64" t="n"/>
      <c r="M55" s="60" t="n"/>
      <c r="N55" s="60" t="n"/>
      <c r="O55" s="60" t="n"/>
      <c r="P55" s="61" t="n"/>
      <c r="Q55" s="61" t="n"/>
      <c r="R55" s="65">
        <f>IF(A55="","",TRIM(C55&amp;" "&amp;D55))</f>
        <v/>
      </c>
      <c r="S55" s="66">
        <f>IF(A55="","",IF(COUNTIFS('Häutungen'!$A$7:$A$1006,A55,'Häutungen'!$C$7:$C$1006,"&gt;0")=0,"",_xlfn.MAXIFS('Häutungen'!$C$7:$C$1006,'Häutungen'!$A$7:$A$1006,A55)))</f>
        <v/>
      </c>
      <c r="T55" s="67">
        <f>IF(A55="","",COUNTIFS('Häutungen'!$A$7:$A$1006,A55,'Häutungen'!$C$7:$C$1006,"&gt;0"))</f>
        <v/>
      </c>
      <c r="U55" s="68">
        <f>IF(A55="","",IF(T55&lt;2,"",IFERROR(AVERAGEIFS('Häutungen'!$J$7:$J$1006,'Häutungen'!$A$7:$A$1006,A55,'Häutungen'!$K$7:$K$1006,"&lt;3",'Häutungen'!$I$7:$I$1006,"&gt;0"),"")))</f>
        <v/>
      </c>
      <c r="V55" s="67">
        <f>IF(S55="","",TODAY()-S55)</f>
        <v/>
      </c>
      <c r="W55" s="66">
        <f>IF(OR(U55="",AND(F55="männlich",H55="Adult")),"",S55+ROUND(U55*TpM,0))</f>
        <v/>
      </c>
      <c r="X55" s="68">
        <f>IF(A55="","",IF(S55="",IF(I55="","",I55),IF(SUMIFS('Häutungen'!$D$7:$D$1006,'Häutungen'!$A$7:$A$1006,A55,'Häutungen'!$C$7:$C$1006,S55)&gt;0,SUMIFS('Häutungen'!$D$7:$D$1006,'Häutungen'!$A$7:$A$1006,A55,'Häutungen'!$C$7:$C$1006,S55),IF(I55="","",I55))))</f>
        <v/>
      </c>
      <c r="Y55" s="66">
        <f>IF(A55="","",IF(COUNTIFS('Fütterung'!$A$7:$A$2006,A55,'Fütterung'!$E$7:$E$2006,"Ja")=0,"",_xlfn.MAXIFS('Fütterung'!$C$7:$C$2006,'Fütterung'!$A$7:$A$2006,A55,'Fütterung'!$E$7:$E$2006,"Ja")))</f>
        <v/>
      </c>
      <c r="Z55" s="67">
        <f>IF(Y55="","",TODAY()-Y55)</f>
        <v/>
      </c>
      <c r="AA55" s="65">
        <f>IF(A55="","",IF(AND(F55="männlich",H55="Adult"),"Adultes Männchen",IF(AND(Z55&lt;&gt;"",N(Z55)&gt;=FutterGrenze),"Frisst nicht",IF(U55="","Zu wenig Daten",IF(V55&gt;U55*TpM*FaktorUeber,"Überfällig",IF(V55&gt;U55*TpM*FaktorBald,"Fällig","Im Plan"))))))</f>
        <v/>
      </c>
      <c r="AB55" s="69">
        <f>IF(AND(AC55=1,W55&lt;&gt;""),N(W55)+ROW()/100000,"")</f>
        <v/>
      </c>
      <c r="AC55" s="69">
        <f>IF(A55="","",IF(SUBTOTAL(103,A55)=1,1,0))</f>
        <v/>
      </c>
    </row>
    <row r="56" ht="20" customHeight="1">
      <c r="A56" s="60" t="n"/>
      <c r="B56" s="61" t="n"/>
      <c r="C56" s="61" t="n"/>
      <c r="D56" s="61" t="n"/>
      <c r="E56" s="60" t="n"/>
      <c r="F56" s="60" t="n"/>
      <c r="G56" s="60" t="n"/>
      <c r="H56" s="60" t="n"/>
      <c r="I56" s="62" t="n"/>
      <c r="J56" s="63" t="n"/>
      <c r="K56" s="61" t="n"/>
      <c r="L56" s="64" t="n"/>
      <c r="M56" s="60" t="n"/>
      <c r="N56" s="60" t="n"/>
      <c r="O56" s="60" t="n"/>
      <c r="P56" s="61" t="n"/>
      <c r="Q56" s="61" t="n"/>
      <c r="R56" s="65">
        <f>IF(A56="","",TRIM(C56&amp;" "&amp;D56))</f>
        <v/>
      </c>
      <c r="S56" s="66">
        <f>IF(A56="","",IF(COUNTIFS('Häutungen'!$A$7:$A$1006,A56,'Häutungen'!$C$7:$C$1006,"&gt;0")=0,"",_xlfn.MAXIFS('Häutungen'!$C$7:$C$1006,'Häutungen'!$A$7:$A$1006,A56)))</f>
        <v/>
      </c>
      <c r="T56" s="67">
        <f>IF(A56="","",COUNTIFS('Häutungen'!$A$7:$A$1006,A56,'Häutungen'!$C$7:$C$1006,"&gt;0"))</f>
        <v/>
      </c>
      <c r="U56" s="68">
        <f>IF(A56="","",IF(T56&lt;2,"",IFERROR(AVERAGEIFS('Häutungen'!$J$7:$J$1006,'Häutungen'!$A$7:$A$1006,A56,'Häutungen'!$K$7:$K$1006,"&lt;3",'Häutungen'!$I$7:$I$1006,"&gt;0"),"")))</f>
        <v/>
      </c>
      <c r="V56" s="67">
        <f>IF(S56="","",TODAY()-S56)</f>
        <v/>
      </c>
      <c r="W56" s="66">
        <f>IF(OR(U56="",AND(F56="männlich",H56="Adult")),"",S56+ROUND(U56*TpM,0))</f>
        <v/>
      </c>
      <c r="X56" s="68">
        <f>IF(A56="","",IF(S56="",IF(I56="","",I56),IF(SUMIFS('Häutungen'!$D$7:$D$1006,'Häutungen'!$A$7:$A$1006,A56,'Häutungen'!$C$7:$C$1006,S56)&gt;0,SUMIFS('Häutungen'!$D$7:$D$1006,'Häutungen'!$A$7:$A$1006,A56,'Häutungen'!$C$7:$C$1006,S56),IF(I56="","",I56))))</f>
        <v/>
      </c>
      <c r="Y56" s="66">
        <f>IF(A56="","",IF(COUNTIFS('Fütterung'!$A$7:$A$2006,A56,'Fütterung'!$E$7:$E$2006,"Ja")=0,"",_xlfn.MAXIFS('Fütterung'!$C$7:$C$2006,'Fütterung'!$A$7:$A$2006,A56,'Fütterung'!$E$7:$E$2006,"Ja")))</f>
        <v/>
      </c>
      <c r="Z56" s="67">
        <f>IF(Y56="","",TODAY()-Y56)</f>
        <v/>
      </c>
      <c r="AA56" s="65">
        <f>IF(A56="","",IF(AND(F56="männlich",H56="Adult"),"Adultes Männchen",IF(AND(Z56&lt;&gt;"",N(Z56)&gt;=FutterGrenze),"Frisst nicht",IF(U56="","Zu wenig Daten",IF(V56&gt;U56*TpM*FaktorUeber,"Überfällig",IF(V56&gt;U56*TpM*FaktorBald,"Fällig","Im Plan"))))))</f>
        <v/>
      </c>
      <c r="AB56" s="69">
        <f>IF(AND(AC56=1,W56&lt;&gt;""),N(W56)+ROW()/100000,"")</f>
        <v/>
      </c>
      <c r="AC56" s="69">
        <f>IF(A56="","",IF(SUBTOTAL(103,A56)=1,1,0))</f>
        <v/>
      </c>
    </row>
    <row r="57" ht="20" customHeight="1">
      <c r="A57" s="60" t="n"/>
      <c r="B57" s="61" t="n"/>
      <c r="C57" s="61" t="n"/>
      <c r="D57" s="61" t="n"/>
      <c r="E57" s="60" t="n"/>
      <c r="F57" s="60" t="n"/>
      <c r="G57" s="60" t="n"/>
      <c r="H57" s="60" t="n"/>
      <c r="I57" s="62" t="n"/>
      <c r="J57" s="63" t="n"/>
      <c r="K57" s="61" t="n"/>
      <c r="L57" s="64" t="n"/>
      <c r="M57" s="60" t="n"/>
      <c r="N57" s="60" t="n"/>
      <c r="O57" s="60" t="n"/>
      <c r="P57" s="61" t="n"/>
      <c r="Q57" s="61" t="n"/>
      <c r="R57" s="65">
        <f>IF(A57="","",TRIM(C57&amp;" "&amp;D57))</f>
        <v/>
      </c>
      <c r="S57" s="66">
        <f>IF(A57="","",IF(COUNTIFS('Häutungen'!$A$7:$A$1006,A57,'Häutungen'!$C$7:$C$1006,"&gt;0")=0,"",_xlfn.MAXIFS('Häutungen'!$C$7:$C$1006,'Häutungen'!$A$7:$A$1006,A57)))</f>
        <v/>
      </c>
      <c r="T57" s="67">
        <f>IF(A57="","",COUNTIFS('Häutungen'!$A$7:$A$1006,A57,'Häutungen'!$C$7:$C$1006,"&gt;0"))</f>
        <v/>
      </c>
      <c r="U57" s="68">
        <f>IF(A57="","",IF(T57&lt;2,"",IFERROR(AVERAGEIFS('Häutungen'!$J$7:$J$1006,'Häutungen'!$A$7:$A$1006,A57,'Häutungen'!$K$7:$K$1006,"&lt;3",'Häutungen'!$I$7:$I$1006,"&gt;0"),"")))</f>
        <v/>
      </c>
      <c r="V57" s="67">
        <f>IF(S57="","",TODAY()-S57)</f>
        <v/>
      </c>
      <c r="W57" s="66">
        <f>IF(OR(U57="",AND(F57="männlich",H57="Adult")),"",S57+ROUND(U57*TpM,0))</f>
        <v/>
      </c>
      <c r="X57" s="68">
        <f>IF(A57="","",IF(S57="",IF(I57="","",I57),IF(SUMIFS('Häutungen'!$D$7:$D$1006,'Häutungen'!$A$7:$A$1006,A57,'Häutungen'!$C$7:$C$1006,S57)&gt;0,SUMIFS('Häutungen'!$D$7:$D$1006,'Häutungen'!$A$7:$A$1006,A57,'Häutungen'!$C$7:$C$1006,S57),IF(I57="","",I57))))</f>
        <v/>
      </c>
      <c r="Y57" s="66">
        <f>IF(A57="","",IF(COUNTIFS('Fütterung'!$A$7:$A$2006,A57,'Fütterung'!$E$7:$E$2006,"Ja")=0,"",_xlfn.MAXIFS('Fütterung'!$C$7:$C$2006,'Fütterung'!$A$7:$A$2006,A57,'Fütterung'!$E$7:$E$2006,"Ja")))</f>
        <v/>
      </c>
      <c r="Z57" s="67">
        <f>IF(Y57="","",TODAY()-Y57)</f>
        <v/>
      </c>
      <c r="AA57" s="65">
        <f>IF(A57="","",IF(AND(F57="männlich",H57="Adult"),"Adultes Männchen",IF(AND(Z57&lt;&gt;"",N(Z57)&gt;=FutterGrenze),"Frisst nicht",IF(U57="","Zu wenig Daten",IF(V57&gt;U57*TpM*FaktorUeber,"Überfällig",IF(V57&gt;U57*TpM*FaktorBald,"Fällig","Im Plan"))))))</f>
        <v/>
      </c>
      <c r="AB57" s="69">
        <f>IF(AND(AC57=1,W57&lt;&gt;""),N(W57)+ROW()/100000,"")</f>
        <v/>
      </c>
      <c r="AC57" s="69">
        <f>IF(A57="","",IF(SUBTOTAL(103,A57)=1,1,0))</f>
        <v/>
      </c>
    </row>
    <row r="58" ht="20" customHeight="1">
      <c r="A58" s="60" t="n"/>
      <c r="B58" s="61" t="n"/>
      <c r="C58" s="61" t="n"/>
      <c r="D58" s="61" t="n"/>
      <c r="E58" s="60" t="n"/>
      <c r="F58" s="60" t="n"/>
      <c r="G58" s="60" t="n"/>
      <c r="H58" s="60" t="n"/>
      <c r="I58" s="62" t="n"/>
      <c r="J58" s="63" t="n"/>
      <c r="K58" s="61" t="n"/>
      <c r="L58" s="64" t="n"/>
      <c r="M58" s="60" t="n"/>
      <c r="N58" s="60" t="n"/>
      <c r="O58" s="60" t="n"/>
      <c r="P58" s="61" t="n"/>
      <c r="Q58" s="61" t="n"/>
      <c r="R58" s="65">
        <f>IF(A58="","",TRIM(C58&amp;" "&amp;D58))</f>
        <v/>
      </c>
      <c r="S58" s="66">
        <f>IF(A58="","",IF(COUNTIFS('Häutungen'!$A$7:$A$1006,A58,'Häutungen'!$C$7:$C$1006,"&gt;0")=0,"",_xlfn.MAXIFS('Häutungen'!$C$7:$C$1006,'Häutungen'!$A$7:$A$1006,A58)))</f>
        <v/>
      </c>
      <c r="T58" s="67">
        <f>IF(A58="","",COUNTIFS('Häutungen'!$A$7:$A$1006,A58,'Häutungen'!$C$7:$C$1006,"&gt;0"))</f>
        <v/>
      </c>
      <c r="U58" s="68">
        <f>IF(A58="","",IF(T58&lt;2,"",IFERROR(AVERAGEIFS('Häutungen'!$J$7:$J$1006,'Häutungen'!$A$7:$A$1006,A58,'Häutungen'!$K$7:$K$1006,"&lt;3",'Häutungen'!$I$7:$I$1006,"&gt;0"),"")))</f>
        <v/>
      </c>
      <c r="V58" s="67">
        <f>IF(S58="","",TODAY()-S58)</f>
        <v/>
      </c>
      <c r="W58" s="66">
        <f>IF(OR(U58="",AND(F58="männlich",H58="Adult")),"",S58+ROUND(U58*TpM,0))</f>
        <v/>
      </c>
      <c r="X58" s="68">
        <f>IF(A58="","",IF(S58="",IF(I58="","",I58),IF(SUMIFS('Häutungen'!$D$7:$D$1006,'Häutungen'!$A$7:$A$1006,A58,'Häutungen'!$C$7:$C$1006,S58)&gt;0,SUMIFS('Häutungen'!$D$7:$D$1006,'Häutungen'!$A$7:$A$1006,A58,'Häutungen'!$C$7:$C$1006,S58),IF(I58="","",I58))))</f>
        <v/>
      </c>
      <c r="Y58" s="66">
        <f>IF(A58="","",IF(COUNTIFS('Fütterung'!$A$7:$A$2006,A58,'Fütterung'!$E$7:$E$2006,"Ja")=0,"",_xlfn.MAXIFS('Fütterung'!$C$7:$C$2006,'Fütterung'!$A$7:$A$2006,A58,'Fütterung'!$E$7:$E$2006,"Ja")))</f>
        <v/>
      </c>
      <c r="Z58" s="67">
        <f>IF(Y58="","",TODAY()-Y58)</f>
        <v/>
      </c>
      <c r="AA58" s="65">
        <f>IF(A58="","",IF(AND(F58="männlich",H58="Adult"),"Adultes Männchen",IF(AND(Z58&lt;&gt;"",N(Z58)&gt;=FutterGrenze),"Frisst nicht",IF(U58="","Zu wenig Daten",IF(V58&gt;U58*TpM*FaktorUeber,"Überfällig",IF(V58&gt;U58*TpM*FaktorBald,"Fällig","Im Plan"))))))</f>
        <v/>
      </c>
      <c r="AB58" s="69">
        <f>IF(AND(AC58=1,W58&lt;&gt;""),N(W58)+ROW()/100000,"")</f>
        <v/>
      </c>
      <c r="AC58" s="69">
        <f>IF(A58="","",IF(SUBTOTAL(103,A58)=1,1,0))</f>
        <v/>
      </c>
    </row>
    <row r="59" ht="20" customHeight="1">
      <c r="A59" s="60" t="n"/>
      <c r="B59" s="61" t="n"/>
      <c r="C59" s="61" t="n"/>
      <c r="D59" s="61" t="n"/>
      <c r="E59" s="60" t="n"/>
      <c r="F59" s="60" t="n"/>
      <c r="G59" s="60" t="n"/>
      <c r="H59" s="60" t="n"/>
      <c r="I59" s="62" t="n"/>
      <c r="J59" s="63" t="n"/>
      <c r="K59" s="61" t="n"/>
      <c r="L59" s="64" t="n"/>
      <c r="M59" s="60" t="n"/>
      <c r="N59" s="60" t="n"/>
      <c r="O59" s="60" t="n"/>
      <c r="P59" s="61" t="n"/>
      <c r="Q59" s="61" t="n"/>
      <c r="R59" s="65">
        <f>IF(A59="","",TRIM(C59&amp;" "&amp;D59))</f>
        <v/>
      </c>
      <c r="S59" s="66">
        <f>IF(A59="","",IF(COUNTIFS('Häutungen'!$A$7:$A$1006,A59,'Häutungen'!$C$7:$C$1006,"&gt;0")=0,"",_xlfn.MAXIFS('Häutungen'!$C$7:$C$1006,'Häutungen'!$A$7:$A$1006,A59)))</f>
        <v/>
      </c>
      <c r="T59" s="67">
        <f>IF(A59="","",COUNTIFS('Häutungen'!$A$7:$A$1006,A59,'Häutungen'!$C$7:$C$1006,"&gt;0"))</f>
        <v/>
      </c>
      <c r="U59" s="68">
        <f>IF(A59="","",IF(T59&lt;2,"",IFERROR(AVERAGEIFS('Häutungen'!$J$7:$J$1006,'Häutungen'!$A$7:$A$1006,A59,'Häutungen'!$K$7:$K$1006,"&lt;3",'Häutungen'!$I$7:$I$1006,"&gt;0"),"")))</f>
        <v/>
      </c>
      <c r="V59" s="67">
        <f>IF(S59="","",TODAY()-S59)</f>
        <v/>
      </c>
      <c r="W59" s="66">
        <f>IF(OR(U59="",AND(F59="männlich",H59="Adult")),"",S59+ROUND(U59*TpM,0))</f>
        <v/>
      </c>
      <c r="X59" s="68">
        <f>IF(A59="","",IF(S59="",IF(I59="","",I59),IF(SUMIFS('Häutungen'!$D$7:$D$1006,'Häutungen'!$A$7:$A$1006,A59,'Häutungen'!$C$7:$C$1006,S59)&gt;0,SUMIFS('Häutungen'!$D$7:$D$1006,'Häutungen'!$A$7:$A$1006,A59,'Häutungen'!$C$7:$C$1006,S59),IF(I59="","",I59))))</f>
        <v/>
      </c>
      <c r="Y59" s="66">
        <f>IF(A59="","",IF(COUNTIFS('Fütterung'!$A$7:$A$2006,A59,'Fütterung'!$E$7:$E$2006,"Ja")=0,"",_xlfn.MAXIFS('Fütterung'!$C$7:$C$2006,'Fütterung'!$A$7:$A$2006,A59,'Fütterung'!$E$7:$E$2006,"Ja")))</f>
        <v/>
      </c>
      <c r="Z59" s="67">
        <f>IF(Y59="","",TODAY()-Y59)</f>
        <v/>
      </c>
      <c r="AA59" s="65">
        <f>IF(A59="","",IF(AND(F59="männlich",H59="Adult"),"Adultes Männchen",IF(AND(Z59&lt;&gt;"",N(Z59)&gt;=FutterGrenze),"Frisst nicht",IF(U59="","Zu wenig Daten",IF(V59&gt;U59*TpM*FaktorUeber,"Überfällig",IF(V59&gt;U59*TpM*FaktorBald,"Fällig","Im Plan"))))))</f>
        <v/>
      </c>
      <c r="AB59" s="69">
        <f>IF(AND(AC59=1,W59&lt;&gt;""),N(W59)+ROW()/100000,"")</f>
        <v/>
      </c>
      <c r="AC59" s="69">
        <f>IF(A59="","",IF(SUBTOTAL(103,A59)=1,1,0))</f>
        <v/>
      </c>
    </row>
    <row r="60" ht="20" customHeight="1">
      <c r="A60" s="60" t="n"/>
      <c r="B60" s="61" t="n"/>
      <c r="C60" s="61" t="n"/>
      <c r="D60" s="61" t="n"/>
      <c r="E60" s="60" t="n"/>
      <c r="F60" s="60" t="n"/>
      <c r="G60" s="60" t="n"/>
      <c r="H60" s="60" t="n"/>
      <c r="I60" s="62" t="n"/>
      <c r="J60" s="63" t="n"/>
      <c r="K60" s="61" t="n"/>
      <c r="L60" s="64" t="n"/>
      <c r="M60" s="60" t="n"/>
      <c r="N60" s="60" t="n"/>
      <c r="O60" s="60" t="n"/>
      <c r="P60" s="61" t="n"/>
      <c r="Q60" s="61" t="n"/>
      <c r="R60" s="65">
        <f>IF(A60="","",TRIM(C60&amp;" "&amp;D60))</f>
        <v/>
      </c>
      <c r="S60" s="66">
        <f>IF(A60="","",IF(COUNTIFS('Häutungen'!$A$7:$A$1006,A60,'Häutungen'!$C$7:$C$1006,"&gt;0")=0,"",_xlfn.MAXIFS('Häutungen'!$C$7:$C$1006,'Häutungen'!$A$7:$A$1006,A60)))</f>
        <v/>
      </c>
      <c r="T60" s="67">
        <f>IF(A60="","",COUNTIFS('Häutungen'!$A$7:$A$1006,A60,'Häutungen'!$C$7:$C$1006,"&gt;0"))</f>
        <v/>
      </c>
      <c r="U60" s="68">
        <f>IF(A60="","",IF(T60&lt;2,"",IFERROR(AVERAGEIFS('Häutungen'!$J$7:$J$1006,'Häutungen'!$A$7:$A$1006,A60,'Häutungen'!$K$7:$K$1006,"&lt;3",'Häutungen'!$I$7:$I$1006,"&gt;0"),"")))</f>
        <v/>
      </c>
      <c r="V60" s="67">
        <f>IF(S60="","",TODAY()-S60)</f>
        <v/>
      </c>
      <c r="W60" s="66">
        <f>IF(OR(U60="",AND(F60="männlich",H60="Adult")),"",S60+ROUND(U60*TpM,0))</f>
        <v/>
      </c>
      <c r="X60" s="68">
        <f>IF(A60="","",IF(S60="",IF(I60="","",I60),IF(SUMIFS('Häutungen'!$D$7:$D$1006,'Häutungen'!$A$7:$A$1006,A60,'Häutungen'!$C$7:$C$1006,S60)&gt;0,SUMIFS('Häutungen'!$D$7:$D$1006,'Häutungen'!$A$7:$A$1006,A60,'Häutungen'!$C$7:$C$1006,S60),IF(I60="","",I60))))</f>
        <v/>
      </c>
      <c r="Y60" s="66">
        <f>IF(A60="","",IF(COUNTIFS('Fütterung'!$A$7:$A$2006,A60,'Fütterung'!$E$7:$E$2006,"Ja")=0,"",_xlfn.MAXIFS('Fütterung'!$C$7:$C$2006,'Fütterung'!$A$7:$A$2006,A60,'Fütterung'!$E$7:$E$2006,"Ja")))</f>
        <v/>
      </c>
      <c r="Z60" s="67">
        <f>IF(Y60="","",TODAY()-Y60)</f>
        <v/>
      </c>
      <c r="AA60" s="65">
        <f>IF(A60="","",IF(AND(F60="männlich",H60="Adult"),"Adultes Männchen",IF(AND(Z60&lt;&gt;"",N(Z60)&gt;=FutterGrenze),"Frisst nicht",IF(U60="","Zu wenig Daten",IF(V60&gt;U60*TpM*FaktorUeber,"Überfällig",IF(V60&gt;U60*TpM*FaktorBald,"Fällig","Im Plan"))))))</f>
        <v/>
      </c>
      <c r="AB60" s="69">
        <f>IF(AND(AC60=1,W60&lt;&gt;""),N(W60)+ROW()/100000,"")</f>
        <v/>
      </c>
      <c r="AC60" s="69">
        <f>IF(A60="","",IF(SUBTOTAL(103,A60)=1,1,0))</f>
        <v/>
      </c>
    </row>
    <row r="61" ht="20" customHeight="1">
      <c r="A61" s="60" t="n"/>
      <c r="B61" s="61" t="n"/>
      <c r="C61" s="61" t="n"/>
      <c r="D61" s="61" t="n"/>
      <c r="E61" s="60" t="n"/>
      <c r="F61" s="60" t="n"/>
      <c r="G61" s="60" t="n"/>
      <c r="H61" s="60" t="n"/>
      <c r="I61" s="62" t="n"/>
      <c r="J61" s="63" t="n"/>
      <c r="K61" s="61" t="n"/>
      <c r="L61" s="64" t="n"/>
      <c r="M61" s="60" t="n"/>
      <c r="N61" s="60" t="n"/>
      <c r="O61" s="60" t="n"/>
      <c r="P61" s="61" t="n"/>
      <c r="Q61" s="61" t="n"/>
      <c r="R61" s="65">
        <f>IF(A61="","",TRIM(C61&amp;" "&amp;D61))</f>
        <v/>
      </c>
      <c r="S61" s="66">
        <f>IF(A61="","",IF(COUNTIFS('Häutungen'!$A$7:$A$1006,A61,'Häutungen'!$C$7:$C$1006,"&gt;0")=0,"",_xlfn.MAXIFS('Häutungen'!$C$7:$C$1006,'Häutungen'!$A$7:$A$1006,A61)))</f>
        <v/>
      </c>
      <c r="T61" s="67">
        <f>IF(A61="","",COUNTIFS('Häutungen'!$A$7:$A$1006,A61,'Häutungen'!$C$7:$C$1006,"&gt;0"))</f>
        <v/>
      </c>
      <c r="U61" s="68">
        <f>IF(A61="","",IF(T61&lt;2,"",IFERROR(AVERAGEIFS('Häutungen'!$J$7:$J$1006,'Häutungen'!$A$7:$A$1006,A61,'Häutungen'!$K$7:$K$1006,"&lt;3",'Häutungen'!$I$7:$I$1006,"&gt;0"),"")))</f>
        <v/>
      </c>
      <c r="V61" s="67">
        <f>IF(S61="","",TODAY()-S61)</f>
        <v/>
      </c>
      <c r="W61" s="66">
        <f>IF(OR(U61="",AND(F61="männlich",H61="Adult")),"",S61+ROUND(U61*TpM,0))</f>
        <v/>
      </c>
      <c r="X61" s="68">
        <f>IF(A61="","",IF(S61="",IF(I61="","",I61),IF(SUMIFS('Häutungen'!$D$7:$D$1006,'Häutungen'!$A$7:$A$1006,A61,'Häutungen'!$C$7:$C$1006,S61)&gt;0,SUMIFS('Häutungen'!$D$7:$D$1006,'Häutungen'!$A$7:$A$1006,A61,'Häutungen'!$C$7:$C$1006,S61),IF(I61="","",I61))))</f>
        <v/>
      </c>
      <c r="Y61" s="66">
        <f>IF(A61="","",IF(COUNTIFS('Fütterung'!$A$7:$A$2006,A61,'Fütterung'!$E$7:$E$2006,"Ja")=0,"",_xlfn.MAXIFS('Fütterung'!$C$7:$C$2006,'Fütterung'!$A$7:$A$2006,A61,'Fütterung'!$E$7:$E$2006,"Ja")))</f>
        <v/>
      </c>
      <c r="Z61" s="67">
        <f>IF(Y61="","",TODAY()-Y61)</f>
        <v/>
      </c>
      <c r="AA61" s="65">
        <f>IF(A61="","",IF(AND(F61="männlich",H61="Adult"),"Adultes Männchen",IF(AND(Z61&lt;&gt;"",N(Z61)&gt;=FutterGrenze),"Frisst nicht",IF(U61="","Zu wenig Daten",IF(V61&gt;U61*TpM*FaktorUeber,"Überfällig",IF(V61&gt;U61*TpM*FaktorBald,"Fällig","Im Plan"))))))</f>
        <v/>
      </c>
      <c r="AB61" s="69">
        <f>IF(AND(AC61=1,W61&lt;&gt;""),N(W61)+ROW()/100000,"")</f>
        <v/>
      </c>
      <c r="AC61" s="69">
        <f>IF(A61="","",IF(SUBTOTAL(103,A61)=1,1,0))</f>
        <v/>
      </c>
    </row>
    <row r="62" ht="20" customHeight="1">
      <c r="A62" s="60" t="n"/>
      <c r="B62" s="61" t="n"/>
      <c r="C62" s="61" t="n"/>
      <c r="D62" s="61" t="n"/>
      <c r="E62" s="60" t="n"/>
      <c r="F62" s="60" t="n"/>
      <c r="G62" s="60" t="n"/>
      <c r="H62" s="60" t="n"/>
      <c r="I62" s="62" t="n"/>
      <c r="J62" s="63" t="n"/>
      <c r="K62" s="61" t="n"/>
      <c r="L62" s="64" t="n"/>
      <c r="M62" s="60" t="n"/>
      <c r="N62" s="60" t="n"/>
      <c r="O62" s="60" t="n"/>
      <c r="P62" s="61" t="n"/>
      <c r="Q62" s="61" t="n"/>
      <c r="R62" s="65">
        <f>IF(A62="","",TRIM(C62&amp;" "&amp;D62))</f>
        <v/>
      </c>
      <c r="S62" s="66">
        <f>IF(A62="","",IF(COUNTIFS('Häutungen'!$A$7:$A$1006,A62,'Häutungen'!$C$7:$C$1006,"&gt;0")=0,"",_xlfn.MAXIFS('Häutungen'!$C$7:$C$1006,'Häutungen'!$A$7:$A$1006,A62)))</f>
        <v/>
      </c>
      <c r="T62" s="67">
        <f>IF(A62="","",COUNTIFS('Häutungen'!$A$7:$A$1006,A62,'Häutungen'!$C$7:$C$1006,"&gt;0"))</f>
        <v/>
      </c>
      <c r="U62" s="68">
        <f>IF(A62="","",IF(T62&lt;2,"",IFERROR(AVERAGEIFS('Häutungen'!$J$7:$J$1006,'Häutungen'!$A$7:$A$1006,A62,'Häutungen'!$K$7:$K$1006,"&lt;3",'Häutungen'!$I$7:$I$1006,"&gt;0"),"")))</f>
        <v/>
      </c>
      <c r="V62" s="67">
        <f>IF(S62="","",TODAY()-S62)</f>
        <v/>
      </c>
      <c r="W62" s="66">
        <f>IF(OR(U62="",AND(F62="männlich",H62="Adult")),"",S62+ROUND(U62*TpM,0))</f>
        <v/>
      </c>
      <c r="X62" s="68">
        <f>IF(A62="","",IF(S62="",IF(I62="","",I62),IF(SUMIFS('Häutungen'!$D$7:$D$1006,'Häutungen'!$A$7:$A$1006,A62,'Häutungen'!$C$7:$C$1006,S62)&gt;0,SUMIFS('Häutungen'!$D$7:$D$1006,'Häutungen'!$A$7:$A$1006,A62,'Häutungen'!$C$7:$C$1006,S62),IF(I62="","",I62))))</f>
        <v/>
      </c>
      <c r="Y62" s="66">
        <f>IF(A62="","",IF(COUNTIFS('Fütterung'!$A$7:$A$2006,A62,'Fütterung'!$E$7:$E$2006,"Ja")=0,"",_xlfn.MAXIFS('Fütterung'!$C$7:$C$2006,'Fütterung'!$A$7:$A$2006,A62,'Fütterung'!$E$7:$E$2006,"Ja")))</f>
        <v/>
      </c>
      <c r="Z62" s="67">
        <f>IF(Y62="","",TODAY()-Y62)</f>
        <v/>
      </c>
      <c r="AA62" s="65">
        <f>IF(A62="","",IF(AND(F62="männlich",H62="Adult"),"Adultes Männchen",IF(AND(Z62&lt;&gt;"",N(Z62)&gt;=FutterGrenze),"Frisst nicht",IF(U62="","Zu wenig Daten",IF(V62&gt;U62*TpM*FaktorUeber,"Überfällig",IF(V62&gt;U62*TpM*FaktorBald,"Fällig","Im Plan"))))))</f>
        <v/>
      </c>
      <c r="AB62" s="69">
        <f>IF(AND(AC62=1,W62&lt;&gt;""),N(W62)+ROW()/100000,"")</f>
        <v/>
      </c>
      <c r="AC62" s="69">
        <f>IF(A62="","",IF(SUBTOTAL(103,A62)=1,1,0))</f>
        <v/>
      </c>
    </row>
    <row r="63" ht="20" customHeight="1">
      <c r="A63" s="60" t="n"/>
      <c r="B63" s="61" t="n"/>
      <c r="C63" s="61" t="n"/>
      <c r="D63" s="61" t="n"/>
      <c r="E63" s="60" t="n"/>
      <c r="F63" s="60" t="n"/>
      <c r="G63" s="60" t="n"/>
      <c r="H63" s="60" t="n"/>
      <c r="I63" s="62" t="n"/>
      <c r="J63" s="63" t="n"/>
      <c r="K63" s="61" t="n"/>
      <c r="L63" s="64" t="n"/>
      <c r="M63" s="60" t="n"/>
      <c r="N63" s="60" t="n"/>
      <c r="O63" s="60" t="n"/>
      <c r="P63" s="61" t="n"/>
      <c r="Q63" s="61" t="n"/>
      <c r="R63" s="65">
        <f>IF(A63="","",TRIM(C63&amp;" "&amp;D63))</f>
        <v/>
      </c>
      <c r="S63" s="66">
        <f>IF(A63="","",IF(COUNTIFS('Häutungen'!$A$7:$A$1006,A63,'Häutungen'!$C$7:$C$1006,"&gt;0")=0,"",_xlfn.MAXIFS('Häutungen'!$C$7:$C$1006,'Häutungen'!$A$7:$A$1006,A63)))</f>
        <v/>
      </c>
      <c r="T63" s="67">
        <f>IF(A63="","",COUNTIFS('Häutungen'!$A$7:$A$1006,A63,'Häutungen'!$C$7:$C$1006,"&gt;0"))</f>
        <v/>
      </c>
      <c r="U63" s="68">
        <f>IF(A63="","",IF(T63&lt;2,"",IFERROR(AVERAGEIFS('Häutungen'!$J$7:$J$1006,'Häutungen'!$A$7:$A$1006,A63,'Häutungen'!$K$7:$K$1006,"&lt;3",'Häutungen'!$I$7:$I$1006,"&gt;0"),"")))</f>
        <v/>
      </c>
      <c r="V63" s="67">
        <f>IF(S63="","",TODAY()-S63)</f>
        <v/>
      </c>
      <c r="W63" s="66">
        <f>IF(OR(U63="",AND(F63="männlich",H63="Adult")),"",S63+ROUND(U63*TpM,0))</f>
        <v/>
      </c>
      <c r="X63" s="68">
        <f>IF(A63="","",IF(S63="",IF(I63="","",I63),IF(SUMIFS('Häutungen'!$D$7:$D$1006,'Häutungen'!$A$7:$A$1006,A63,'Häutungen'!$C$7:$C$1006,S63)&gt;0,SUMIFS('Häutungen'!$D$7:$D$1006,'Häutungen'!$A$7:$A$1006,A63,'Häutungen'!$C$7:$C$1006,S63),IF(I63="","",I63))))</f>
        <v/>
      </c>
      <c r="Y63" s="66">
        <f>IF(A63="","",IF(COUNTIFS('Fütterung'!$A$7:$A$2006,A63,'Fütterung'!$E$7:$E$2006,"Ja")=0,"",_xlfn.MAXIFS('Fütterung'!$C$7:$C$2006,'Fütterung'!$A$7:$A$2006,A63,'Fütterung'!$E$7:$E$2006,"Ja")))</f>
        <v/>
      </c>
      <c r="Z63" s="67">
        <f>IF(Y63="","",TODAY()-Y63)</f>
        <v/>
      </c>
      <c r="AA63" s="65">
        <f>IF(A63="","",IF(AND(F63="männlich",H63="Adult"),"Adultes Männchen",IF(AND(Z63&lt;&gt;"",N(Z63)&gt;=FutterGrenze),"Frisst nicht",IF(U63="","Zu wenig Daten",IF(V63&gt;U63*TpM*FaktorUeber,"Überfällig",IF(V63&gt;U63*TpM*FaktorBald,"Fällig","Im Plan"))))))</f>
        <v/>
      </c>
      <c r="AB63" s="69">
        <f>IF(AND(AC63=1,W63&lt;&gt;""),N(W63)+ROW()/100000,"")</f>
        <v/>
      </c>
      <c r="AC63" s="69">
        <f>IF(A63="","",IF(SUBTOTAL(103,A63)=1,1,0))</f>
        <v/>
      </c>
    </row>
    <row r="64" ht="20" customHeight="1">
      <c r="A64" s="60" t="n"/>
      <c r="B64" s="61" t="n"/>
      <c r="C64" s="61" t="n"/>
      <c r="D64" s="61" t="n"/>
      <c r="E64" s="60" t="n"/>
      <c r="F64" s="60" t="n"/>
      <c r="G64" s="60" t="n"/>
      <c r="H64" s="60" t="n"/>
      <c r="I64" s="62" t="n"/>
      <c r="J64" s="63" t="n"/>
      <c r="K64" s="61" t="n"/>
      <c r="L64" s="64" t="n"/>
      <c r="M64" s="60" t="n"/>
      <c r="N64" s="60" t="n"/>
      <c r="O64" s="60" t="n"/>
      <c r="P64" s="61" t="n"/>
      <c r="Q64" s="61" t="n"/>
      <c r="R64" s="65">
        <f>IF(A64="","",TRIM(C64&amp;" "&amp;D64))</f>
        <v/>
      </c>
      <c r="S64" s="66">
        <f>IF(A64="","",IF(COUNTIFS('Häutungen'!$A$7:$A$1006,A64,'Häutungen'!$C$7:$C$1006,"&gt;0")=0,"",_xlfn.MAXIFS('Häutungen'!$C$7:$C$1006,'Häutungen'!$A$7:$A$1006,A64)))</f>
        <v/>
      </c>
      <c r="T64" s="67">
        <f>IF(A64="","",COUNTIFS('Häutungen'!$A$7:$A$1006,A64,'Häutungen'!$C$7:$C$1006,"&gt;0"))</f>
        <v/>
      </c>
      <c r="U64" s="68">
        <f>IF(A64="","",IF(T64&lt;2,"",IFERROR(AVERAGEIFS('Häutungen'!$J$7:$J$1006,'Häutungen'!$A$7:$A$1006,A64,'Häutungen'!$K$7:$K$1006,"&lt;3",'Häutungen'!$I$7:$I$1006,"&gt;0"),"")))</f>
        <v/>
      </c>
      <c r="V64" s="67">
        <f>IF(S64="","",TODAY()-S64)</f>
        <v/>
      </c>
      <c r="W64" s="66">
        <f>IF(OR(U64="",AND(F64="männlich",H64="Adult")),"",S64+ROUND(U64*TpM,0))</f>
        <v/>
      </c>
      <c r="X64" s="68">
        <f>IF(A64="","",IF(S64="",IF(I64="","",I64),IF(SUMIFS('Häutungen'!$D$7:$D$1006,'Häutungen'!$A$7:$A$1006,A64,'Häutungen'!$C$7:$C$1006,S64)&gt;0,SUMIFS('Häutungen'!$D$7:$D$1006,'Häutungen'!$A$7:$A$1006,A64,'Häutungen'!$C$7:$C$1006,S64),IF(I64="","",I64))))</f>
        <v/>
      </c>
      <c r="Y64" s="66">
        <f>IF(A64="","",IF(COUNTIFS('Fütterung'!$A$7:$A$2006,A64,'Fütterung'!$E$7:$E$2006,"Ja")=0,"",_xlfn.MAXIFS('Fütterung'!$C$7:$C$2006,'Fütterung'!$A$7:$A$2006,A64,'Fütterung'!$E$7:$E$2006,"Ja")))</f>
        <v/>
      </c>
      <c r="Z64" s="67">
        <f>IF(Y64="","",TODAY()-Y64)</f>
        <v/>
      </c>
      <c r="AA64" s="65">
        <f>IF(A64="","",IF(AND(F64="männlich",H64="Adult"),"Adultes Männchen",IF(AND(Z64&lt;&gt;"",N(Z64)&gt;=FutterGrenze),"Frisst nicht",IF(U64="","Zu wenig Daten",IF(V64&gt;U64*TpM*FaktorUeber,"Überfällig",IF(V64&gt;U64*TpM*FaktorBald,"Fällig","Im Plan"))))))</f>
        <v/>
      </c>
      <c r="AB64" s="69">
        <f>IF(AND(AC64=1,W64&lt;&gt;""),N(W64)+ROW()/100000,"")</f>
        <v/>
      </c>
      <c r="AC64" s="69">
        <f>IF(A64="","",IF(SUBTOTAL(103,A64)=1,1,0))</f>
        <v/>
      </c>
    </row>
    <row r="65" ht="20" customHeight="1">
      <c r="A65" s="60" t="n"/>
      <c r="B65" s="61" t="n"/>
      <c r="C65" s="61" t="n"/>
      <c r="D65" s="61" t="n"/>
      <c r="E65" s="60" t="n"/>
      <c r="F65" s="60" t="n"/>
      <c r="G65" s="60" t="n"/>
      <c r="H65" s="60" t="n"/>
      <c r="I65" s="62" t="n"/>
      <c r="J65" s="63" t="n"/>
      <c r="K65" s="61" t="n"/>
      <c r="L65" s="64" t="n"/>
      <c r="M65" s="60" t="n"/>
      <c r="N65" s="60" t="n"/>
      <c r="O65" s="60" t="n"/>
      <c r="P65" s="61" t="n"/>
      <c r="Q65" s="61" t="n"/>
      <c r="R65" s="65">
        <f>IF(A65="","",TRIM(C65&amp;" "&amp;D65))</f>
        <v/>
      </c>
      <c r="S65" s="66">
        <f>IF(A65="","",IF(COUNTIFS('Häutungen'!$A$7:$A$1006,A65,'Häutungen'!$C$7:$C$1006,"&gt;0")=0,"",_xlfn.MAXIFS('Häutungen'!$C$7:$C$1006,'Häutungen'!$A$7:$A$1006,A65)))</f>
        <v/>
      </c>
      <c r="T65" s="67">
        <f>IF(A65="","",COUNTIFS('Häutungen'!$A$7:$A$1006,A65,'Häutungen'!$C$7:$C$1006,"&gt;0"))</f>
        <v/>
      </c>
      <c r="U65" s="68">
        <f>IF(A65="","",IF(T65&lt;2,"",IFERROR(AVERAGEIFS('Häutungen'!$J$7:$J$1006,'Häutungen'!$A$7:$A$1006,A65,'Häutungen'!$K$7:$K$1006,"&lt;3",'Häutungen'!$I$7:$I$1006,"&gt;0"),"")))</f>
        <v/>
      </c>
      <c r="V65" s="67">
        <f>IF(S65="","",TODAY()-S65)</f>
        <v/>
      </c>
      <c r="W65" s="66">
        <f>IF(OR(U65="",AND(F65="männlich",H65="Adult")),"",S65+ROUND(U65*TpM,0))</f>
        <v/>
      </c>
      <c r="X65" s="68">
        <f>IF(A65="","",IF(S65="",IF(I65="","",I65),IF(SUMIFS('Häutungen'!$D$7:$D$1006,'Häutungen'!$A$7:$A$1006,A65,'Häutungen'!$C$7:$C$1006,S65)&gt;0,SUMIFS('Häutungen'!$D$7:$D$1006,'Häutungen'!$A$7:$A$1006,A65,'Häutungen'!$C$7:$C$1006,S65),IF(I65="","",I65))))</f>
        <v/>
      </c>
      <c r="Y65" s="66">
        <f>IF(A65="","",IF(COUNTIFS('Fütterung'!$A$7:$A$2006,A65,'Fütterung'!$E$7:$E$2006,"Ja")=0,"",_xlfn.MAXIFS('Fütterung'!$C$7:$C$2006,'Fütterung'!$A$7:$A$2006,A65,'Fütterung'!$E$7:$E$2006,"Ja")))</f>
        <v/>
      </c>
      <c r="Z65" s="67">
        <f>IF(Y65="","",TODAY()-Y65)</f>
        <v/>
      </c>
      <c r="AA65" s="65">
        <f>IF(A65="","",IF(AND(F65="männlich",H65="Adult"),"Adultes Männchen",IF(AND(Z65&lt;&gt;"",N(Z65)&gt;=FutterGrenze),"Frisst nicht",IF(U65="","Zu wenig Daten",IF(V65&gt;U65*TpM*FaktorUeber,"Überfällig",IF(V65&gt;U65*TpM*FaktorBald,"Fällig","Im Plan"))))))</f>
        <v/>
      </c>
      <c r="AB65" s="69">
        <f>IF(AND(AC65=1,W65&lt;&gt;""),N(W65)+ROW()/100000,"")</f>
        <v/>
      </c>
      <c r="AC65" s="69">
        <f>IF(A65="","",IF(SUBTOTAL(103,A65)=1,1,0))</f>
        <v/>
      </c>
    </row>
    <row r="66" ht="20" customHeight="1">
      <c r="A66" s="60" t="n"/>
      <c r="B66" s="61" t="n"/>
      <c r="C66" s="61" t="n"/>
      <c r="D66" s="61" t="n"/>
      <c r="E66" s="60" t="n"/>
      <c r="F66" s="60" t="n"/>
      <c r="G66" s="60" t="n"/>
      <c r="H66" s="60" t="n"/>
      <c r="I66" s="62" t="n"/>
      <c r="J66" s="63" t="n"/>
      <c r="K66" s="61" t="n"/>
      <c r="L66" s="64" t="n"/>
      <c r="M66" s="60" t="n"/>
      <c r="N66" s="60" t="n"/>
      <c r="O66" s="60" t="n"/>
      <c r="P66" s="61" t="n"/>
      <c r="Q66" s="61" t="n"/>
      <c r="R66" s="65">
        <f>IF(A66="","",TRIM(C66&amp;" "&amp;D66))</f>
        <v/>
      </c>
      <c r="S66" s="66">
        <f>IF(A66="","",IF(COUNTIFS('Häutungen'!$A$7:$A$1006,A66,'Häutungen'!$C$7:$C$1006,"&gt;0")=0,"",_xlfn.MAXIFS('Häutungen'!$C$7:$C$1006,'Häutungen'!$A$7:$A$1006,A66)))</f>
        <v/>
      </c>
      <c r="T66" s="67">
        <f>IF(A66="","",COUNTIFS('Häutungen'!$A$7:$A$1006,A66,'Häutungen'!$C$7:$C$1006,"&gt;0"))</f>
        <v/>
      </c>
      <c r="U66" s="68">
        <f>IF(A66="","",IF(T66&lt;2,"",IFERROR(AVERAGEIFS('Häutungen'!$J$7:$J$1006,'Häutungen'!$A$7:$A$1006,A66,'Häutungen'!$K$7:$K$1006,"&lt;3",'Häutungen'!$I$7:$I$1006,"&gt;0"),"")))</f>
        <v/>
      </c>
      <c r="V66" s="67">
        <f>IF(S66="","",TODAY()-S66)</f>
        <v/>
      </c>
      <c r="W66" s="66">
        <f>IF(OR(U66="",AND(F66="männlich",H66="Adult")),"",S66+ROUND(U66*TpM,0))</f>
        <v/>
      </c>
      <c r="X66" s="68">
        <f>IF(A66="","",IF(S66="",IF(I66="","",I66),IF(SUMIFS('Häutungen'!$D$7:$D$1006,'Häutungen'!$A$7:$A$1006,A66,'Häutungen'!$C$7:$C$1006,S66)&gt;0,SUMIFS('Häutungen'!$D$7:$D$1006,'Häutungen'!$A$7:$A$1006,A66,'Häutungen'!$C$7:$C$1006,S66),IF(I66="","",I66))))</f>
        <v/>
      </c>
      <c r="Y66" s="66">
        <f>IF(A66="","",IF(COUNTIFS('Fütterung'!$A$7:$A$2006,A66,'Fütterung'!$E$7:$E$2006,"Ja")=0,"",_xlfn.MAXIFS('Fütterung'!$C$7:$C$2006,'Fütterung'!$A$7:$A$2006,A66,'Fütterung'!$E$7:$E$2006,"Ja")))</f>
        <v/>
      </c>
      <c r="Z66" s="67">
        <f>IF(Y66="","",TODAY()-Y66)</f>
        <v/>
      </c>
      <c r="AA66" s="65">
        <f>IF(A66="","",IF(AND(F66="männlich",H66="Adult"),"Adultes Männchen",IF(AND(Z66&lt;&gt;"",N(Z66)&gt;=FutterGrenze),"Frisst nicht",IF(U66="","Zu wenig Daten",IF(V66&gt;U66*TpM*FaktorUeber,"Überfällig",IF(V66&gt;U66*TpM*FaktorBald,"Fällig","Im Plan"))))))</f>
        <v/>
      </c>
      <c r="AB66" s="69">
        <f>IF(AND(AC66=1,W66&lt;&gt;""),N(W66)+ROW()/100000,"")</f>
        <v/>
      </c>
      <c r="AC66" s="69">
        <f>IF(A66="","",IF(SUBTOTAL(103,A66)=1,1,0))</f>
        <v/>
      </c>
    </row>
    <row r="67" ht="20" customHeight="1">
      <c r="A67" s="60" t="n"/>
      <c r="B67" s="61" t="n"/>
      <c r="C67" s="61" t="n"/>
      <c r="D67" s="61" t="n"/>
      <c r="E67" s="60" t="n"/>
      <c r="F67" s="60" t="n"/>
      <c r="G67" s="60" t="n"/>
      <c r="H67" s="60" t="n"/>
      <c r="I67" s="62" t="n"/>
      <c r="J67" s="63" t="n"/>
      <c r="K67" s="61" t="n"/>
      <c r="L67" s="64" t="n"/>
      <c r="M67" s="60" t="n"/>
      <c r="N67" s="60" t="n"/>
      <c r="O67" s="60" t="n"/>
      <c r="P67" s="61" t="n"/>
      <c r="Q67" s="61" t="n"/>
      <c r="R67" s="65">
        <f>IF(A67="","",TRIM(C67&amp;" "&amp;D67))</f>
        <v/>
      </c>
      <c r="S67" s="66">
        <f>IF(A67="","",IF(COUNTIFS('Häutungen'!$A$7:$A$1006,A67,'Häutungen'!$C$7:$C$1006,"&gt;0")=0,"",_xlfn.MAXIFS('Häutungen'!$C$7:$C$1006,'Häutungen'!$A$7:$A$1006,A67)))</f>
        <v/>
      </c>
      <c r="T67" s="67">
        <f>IF(A67="","",COUNTIFS('Häutungen'!$A$7:$A$1006,A67,'Häutungen'!$C$7:$C$1006,"&gt;0"))</f>
        <v/>
      </c>
      <c r="U67" s="68">
        <f>IF(A67="","",IF(T67&lt;2,"",IFERROR(AVERAGEIFS('Häutungen'!$J$7:$J$1006,'Häutungen'!$A$7:$A$1006,A67,'Häutungen'!$K$7:$K$1006,"&lt;3",'Häutungen'!$I$7:$I$1006,"&gt;0"),"")))</f>
        <v/>
      </c>
      <c r="V67" s="67">
        <f>IF(S67="","",TODAY()-S67)</f>
        <v/>
      </c>
      <c r="W67" s="66">
        <f>IF(OR(U67="",AND(F67="männlich",H67="Adult")),"",S67+ROUND(U67*TpM,0))</f>
        <v/>
      </c>
      <c r="X67" s="68">
        <f>IF(A67="","",IF(S67="",IF(I67="","",I67),IF(SUMIFS('Häutungen'!$D$7:$D$1006,'Häutungen'!$A$7:$A$1006,A67,'Häutungen'!$C$7:$C$1006,S67)&gt;0,SUMIFS('Häutungen'!$D$7:$D$1006,'Häutungen'!$A$7:$A$1006,A67,'Häutungen'!$C$7:$C$1006,S67),IF(I67="","",I67))))</f>
        <v/>
      </c>
      <c r="Y67" s="66">
        <f>IF(A67="","",IF(COUNTIFS('Fütterung'!$A$7:$A$2006,A67,'Fütterung'!$E$7:$E$2006,"Ja")=0,"",_xlfn.MAXIFS('Fütterung'!$C$7:$C$2006,'Fütterung'!$A$7:$A$2006,A67,'Fütterung'!$E$7:$E$2006,"Ja")))</f>
        <v/>
      </c>
      <c r="Z67" s="67">
        <f>IF(Y67="","",TODAY()-Y67)</f>
        <v/>
      </c>
      <c r="AA67" s="65">
        <f>IF(A67="","",IF(AND(F67="männlich",H67="Adult"),"Adultes Männchen",IF(AND(Z67&lt;&gt;"",N(Z67)&gt;=FutterGrenze),"Frisst nicht",IF(U67="","Zu wenig Daten",IF(V67&gt;U67*TpM*FaktorUeber,"Überfällig",IF(V67&gt;U67*TpM*FaktorBald,"Fällig","Im Plan"))))))</f>
        <v/>
      </c>
      <c r="AB67" s="69">
        <f>IF(AND(AC67=1,W67&lt;&gt;""),N(W67)+ROW()/100000,"")</f>
        <v/>
      </c>
      <c r="AC67" s="69">
        <f>IF(A67="","",IF(SUBTOTAL(103,A67)=1,1,0))</f>
        <v/>
      </c>
    </row>
    <row r="68" ht="20" customHeight="1">
      <c r="A68" s="60" t="n"/>
      <c r="B68" s="61" t="n"/>
      <c r="C68" s="61" t="n"/>
      <c r="D68" s="61" t="n"/>
      <c r="E68" s="60" t="n"/>
      <c r="F68" s="60" t="n"/>
      <c r="G68" s="60" t="n"/>
      <c r="H68" s="60" t="n"/>
      <c r="I68" s="62" t="n"/>
      <c r="J68" s="63" t="n"/>
      <c r="K68" s="61" t="n"/>
      <c r="L68" s="64" t="n"/>
      <c r="M68" s="60" t="n"/>
      <c r="N68" s="60" t="n"/>
      <c r="O68" s="60" t="n"/>
      <c r="P68" s="61" t="n"/>
      <c r="Q68" s="61" t="n"/>
      <c r="R68" s="65">
        <f>IF(A68="","",TRIM(C68&amp;" "&amp;D68))</f>
        <v/>
      </c>
      <c r="S68" s="66">
        <f>IF(A68="","",IF(COUNTIFS('Häutungen'!$A$7:$A$1006,A68,'Häutungen'!$C$7:$C$1006,"&gt;0")=0,"",_xlfn.MAXIFS('Häutungen'!$C$7:$C$1006,'Häutungen'!$A$7:$A$1006,A68)))</f>
        <v/>
      </c>
      <c r="T68" s="67">
        <f>IF(A68="","",COUNTIFS('Häutungen'!$A$7:$A$1006,A68,'Häutungen'!$C$7:$C$1006,"&gt;0"))</f>
        <v/>
      </c>
      <c r="U68" s="68">
        <f>IF(A68="","",IF(T68&lt;2,"",IFERROR(AVERAGEIFS('Häutungen'!$J$7:$J$1006,'Häutungen'!$A$7:$A$1006,A68,'Häutungen'!$K$7:$K$1006,"&lt;3",'Häutungen'!$I$7:$I$1006,"&gt;0"),"")))</f>
        <v/>
      </c>
      <c r="V68" s="67">
        <f>IF(S68="","",TODAY()-S68)</f>
        <v/>
      </c>
      <c r="W68" s="66">
        <f>IF(OR(U68="",AND(F68="männlich",H68="Adult")),"",S68+ROUND(U68*TpM,0))</f>
        <v/>
      </c>
      <c r="X68" s="68">
        <f>IF(A68="","",IF(S68="",IF(I68="","",I68),IF(SUMIFS('Häutungen'!$D$7:$D$1006,'Häutungen'!$A$7:$A$1006,A68,'Häutungen'!$C$7:$C$1006,S68)&gt;0,SUMIFS('Häutungen'!$D$7:$D$1006,'Häutungen'!$A$7:$A$1006,A68,'Häutungen'!$C$7:$C$1006,S68),IF(I68="","",I68))))</f>
        <v/>
      </c>
      <c r="Y68" s="66">
        <f>IF(A68="","",IF(COUNTIFS('Fütterung'!$A$7:$A$2006,A68,'Fütterung'!$E$7:$E$2006,"Ja")=0,"",_xlfn.MAXIFS('Fütterung'!$C$7:$C$2006,'Fütterung'!$A$7:$A$2006,A68,'Fütterung'!$E$7:$E$2006,"Ja")))</f>
        <v/>
      </c>
      <c r="Z68" s="67">
        <f>IF(Y68="","",TODAY()-Y68)</f>
        <v/>
      </c>
      <c r="AA68" s="65">
        <f>IF(A68="","",IF(AND(F68="männlich",H68="Adult"),"Adultes Männchen",IF(AND(Z68&lt;&gt;"",N(Z68)&gt;=FutterGrenze),"Frisst nicht",IF(U68="","Zu wenig Daten",IF(V68&gt;U68*TpM*FaktorUeber,"Überfällig",IF(V68&gt;U68*TpM*FaktorBald,"Fällig","Im Plan"))))))</f>
        <v/>
      </c>
      <c r="AB68" s="69">
        <f>IF(AND(AC68=1,W68&lt;&gt;""),N(W68)+ROW()/100000,"")</f>
        <v/>
      </c>
      <c r="AC68" s="69">
        <f>IF(A68="","",IF(SUBTOTAL(103,A68)=1,1,0))</f>
        <v/>
      </c>
    </row>
    <row r="69" ht="20" customHeight="1">
      <c r="A69" s="60" t="n"/>
      <c r="B69" s="61" t="n"/>
      <c r="C69" s="61" t="n"/>
      <c r="D69" s="61" t="n"/>
      <c r="E69" s="60" t="n"/>
      <c r="F69" s="60" t="n"/>
      <c r="G69" s="60" t="n"/>
      <c r="H69" s="60" t="n"/>
      <c r="I69" s="62" t="n"/>
      <c r="J69" s="63" t="n"/>
      <c r="K69" s="61" t="n"/>
      <c r="L69" s="64" t="n"/>
      <c r="M69" s="60" t="n"/>
      <c r="N69" s="60" t="n"/>
      <c r="O69" s="60" t="n"/>
      <c r="P69" s="61" t="n"/>
      <c r="Q69" s="61" t="n"/>
      <c r="R69" s="65">
        <f>IF(A69="","",TRIM(C69&amp;" "&amp;D69))</f>
        <v/>
      </c>
      <c r="S69" s="66">
        <f>IF(A69="","",IF(COUNTIFS('Häutungen'!$A$7:$A$1006,A69,'Häutungen'!$C$7:$C$1006,"&gt;0")=0,"",_xlfn.MAXIFS('Häutungen'!$C$7:$C$1006,'Häutungen'!$A$7:$A$1006,A69)))</f>
        <v/>
      </c>
      <c r="T69" s="67">
        <f>IF(A69="","",COUNTIFS('Häutungen'!$A$7:$A$1006,A69,'Häutungen'!$C$7:$C$1006,"&gt;0"))</f>
        <v/>
      </c>
      <c r="U69" s="68">
        <f>IF(A69="","",IF(T69&lt;2,"",IFERROR(AVERAGEIFS('Häutungen'!$J$7:$J$1006,'Häutungen'!$A$7:$A$1006,A69,'Häutungen'!$K$7:$K$1006,"&lt;3",'Häutungen'!$I$7:$I$1006,"&gt;0"),"")))</f>
        <v/>
      </c>
      <c r="V69" s="67">
        <f>IF(S69="","",TODAY()-S69)</f>
        <v/>
      </c>
      <c r="W69" s="66">
        <f>IF(OR(U69="",AND(F69="männlich",H69="Adult")),"",S69+ROUND(U69*TpM,0))</f>
        <v/>
      </c>
      <c r="X69" s="68">
        <f>IF(A69="","",IF(S69="",IF(I69="","",I69),IF(SUMIFS('Häutungen'!$D$7:$D$1006,'Häutungen'!$A$7:$A$1006,A69,'Häutungen'!$C$7:$C$1006,S69)&gt;0,SUMIFS('Häutungen'!$D$7:$D$1006,'Häutungen'!$A$7:$A$1006,A69,'Häutungen'!$C$7:$C$1006,S69),IF(I69="","",I69))))</f>
        <v/>
      </c>
      <c r="Y69" s="66">
        <f>IF(A69="","",IF(COUNTIFS('Fütterung'!$A$7:$A$2006,A69,'Fütterung'!$E$7:$E$2006,"Ja")=0,"",_xlfn.MAXIFS('Fütterung'!$C$7:$C$2006,'Fütterung'!$A$7:$A$2006,A69,'Fütterung'!$E$7:$E$2006,"Ja")))</f>
        <v/>
      </c>
      <c r="Z69" s="67">
        <f>IF(Y69="","",TODAY()-Y69)</f>
        <v/>
      </c>
      <c r="AA69" s="65">
        <f>IF(A69="","",IF(AND(F69="männlich",H69="Adult"),"Adultes Männchen",IF(AND(Z69&lt;&gt;"",N(Z69)&gt;=FutterGrenze),"Frisst nicht",IF(U69="","Zu wenig Daten",IF(V69&gt;U69*TpM*FaktorUeber,"Überfällig",IF(V69&gt;U69*TpM*FaktorBald,"Fällig","Im Plan"))))))</f>
        <v/>
      </c>
      <c r="AB69" s="69">
        <f>IF(AND(AC69=1,W69&lt;&gt;""),N(W69)+ROW()/100000,"")</f>
        <v/>
      </c>
      <c r="AC69" s="69">
        <f>IF(A69="","",IF(SUBTOTAL(103,A69)=1,1,0))</f>
        <v/>
      </c>
    </row>
    <row r="70" ht="20" customHeight="1">
      <c r="A70" s="60" t="n"/>
      <c r="B70" s="61" t="n"/>
      <c r="C70" s="61" t="n"/>
      <c r="D70" s="61" t="n"/>
      <c r="E70" s="60" t="n"/>
      <c r="F70" s="60" t="n"/>
      <c r="G70" s="60" t="n"/>
      <c r="H70" s="60" t="n"/>
      <c r="I70" s="62" t="n"/>
      <c r="J70" s="63" t="n"/>
      <c r="K70" s="61" t="n"/>
      <c r="L70" s="64" t="n"/>
      <c r="M70" s="60" t="n"/>
      <c r="N70" s="60" t="n"/>
      <c r="O70" s="60" t="n"/>
      <c r="P70" s="61" t="n"/>
      <c r="Q70" s="61" t="n"/>
      <c r="R70" s="65">
        <f>IF(A70="","",TRIM(C70&amp;" "&amp;D70))</f>
        <v/>
      </c>
      <c r="S70" s="66">
        <f>IF(A70="","",IF(COUNTIFS('Häutungen'!$A$7:$A$1006,A70,'Häutungen'!$C$7:$C$1006,"&gt;0")=0,"",_xlfn.MAXIFS('Häutungen'!$C$7:$C$1006,'Häutungen'!$A$7:$A$1006,A70)))</f>
        <v/>
      </c>
      <c r="T70" s="67">
        <f>IF(A70="","",COUNTIFS('Häutungen'!$A$7:$A$1006,A70,'Häutungen'!$C$7:$C$1006,"&gt;0"))</f>
        <v/>
      </c>
      <c r="U70" s="68">
        <f>IF(A70="","",IF(T70&lt;2,"",IFERROR(AVERAGEIFS('Häutungen'!$J$7:$J$1006,'Häutungen'!$A$7:$A$1006,A70,'Häutungen'!$K$7:$K$1006,"&lt;3",'Häutungen'!$I$7:$I$1006,"&gt;0"),"")))</f>
        <v/>
      </c>
      <c r="V70" s="67">
        <f>IF(S70="","",TODAY()-S70)</f>
        <v/>
      </c>
      <c r="W70" s="66">
        <f>IF(OR(U70="",AND(F70="männlich",H70="Adult")),"",S70+ROUND(U70*TpM,0))</f>
        <v/>
      </c>
      <c r="X70" s="68">
        <f>IF(A70="","",IF(S70="",IF(I70="","",I70),IF(SUMIFS('Häutungen'!$D$7:$D$1006,'Häutungen'!$A$7:$A$1006,A70,'Häutungen'!$C$7:$C$1006,S70)&gt;0,SUMIFS('Häutungen'!$D$7:$D$1006,'Häutungen'!$A$7:$A$1006,A70,'Häutungen'!$C$7:$C$1006,S70),IF(I70="","",I70))))</f>
        <v/>
      </c>
      <c r="Y70" s="66">
        <f>IF(A70="","",IF(COUNTIFS('Fütterung'!$A$7:$A$2006,A70,'Fütterung'!$E$7:$E$2006,"Ja")=0,"",_xlfn.MAXIFS('Fütterung'!$C$7:$C$2006,'Fütterung'!$A$7:$A$2006,A70,'Fütterung'!$E$7:$E$2006,"Ja")))</f>
        <v/>
      </c>
      <c r="Z70" s="67">
        <f>IF(Y70="","",TODAY()-Y70)</f>
        <v/>
      </c>
      <c r="AA70" s="65">
        <f>IF(A70="","",IF(AND(F70="männlich",H70="Adult"),"Adultes Männchen",IF(AND(Z70&lt;&gt;"",N(Z70)&gt;=FutterGrenze),"Frisst nicht",IF(U70="","Zu wenig Daten",IF(V70&gt;U70*TpM*FaktorUeber,"Überfällig",IF(V70&gt;U70*TpM*FaktorBald,"Fällig","Im Plan"))))))</f>
        <v/>
      </c>
      <c r="AB70" s="69">
        <f>IF(AND(AC70=1,W70&lt;&gt;""),N(W70)+ROW()/100000,"")</f>
        <v/>
      </c>
      <c r="AC70" s="69">
        <f>IF(A70="","",IF(SUBTOTAL(103,A70)=1,1,0))</f>
        <v/>
      </c>
    </row>
    <row r="71" ht="20" customHeight="1">
      <c r="A71" s="60" t="n"/>
      <c r="B71" s="61" t="n"/>
      <c r="C71" s="61" t="n"/>
      <c r="D71" s="61" t="n"/>
      <c r="E71" s="60" t="n"/>
      <c r="F71" s="60" t="n"/>
      <c r="G71" s="60" t="n"/>
      <c r="H71" s="60" t="n"/>
      <c r="I71" s="62" t="n"/>
      <c r="J71" s="63" t="n"/>
      <c r="K71" s="61" t="n"/>
      <c r="L71" s="64" t="n"/>
      <c r="M71" s="60" t="n"/>
      <c r="N71" s="60" t="n"/>
      <c r="O71" s="60" t="n"/>
      <c r="P71" s="61" t="n"/>
      <c r="Q71" s="61" t="n"/>
      <c r="R71" s="65">
        <f>IF(A71="","",TRIM(C71&amp;" "&amp;D71))</f>
        <v/>
      </c>
      <c r="S71" s="66">
        <f>IF(A71="","",IF(COUNTIFS('Häutungen'!$A$7:$A$1006,A71,'Häutungen'!$C$7:$C$1006,"&gt;0")=0,"",_xlfn.MAXIFS('Häutungen'!$C$7:$C$1006,'Häutungen'!$A$7:$A$1006,A71)))</f>
        <v/>
      </c>
      <c r="T71" s="67">
        <f>IF(A71="","",COUNTIFS('Häutungen'!$A$7:$A$1006,A71,'Häutungen'!$C$7:$C$1006,"&gt;0"))</f>
        <v/>
      </c>
      <c r="U71" s="68">
        <f>IF(A71="","",IF(T71&lt;2,"",IFERROR(AVERAGEIFS('Häutungen'!$J$7:$J$1006,'Häutungen'!$A$7:$A$1006,A71,'Häutungen'!$K$7:$K$1006,"&lt;3",'Häutungen'!$I$7:$I$1006,"&gt;0"),"")))</f>
        <v/>
      </c>
      <c r="V71" s="67">
        <f>IF(S71="","",TODAY()-S71)</f>
        <v/>
      </c>
      <c r="W71" s="66">
        <f>IF(OR(U71="",AND(F71="männlich",H71="Adult")),"",S71+ROUND(U71*TpM,0))</f>
        <v/>
      </c>
      <c r="X71" s="68">
        <f>IF(A71="","",IF(S71="",IF(I71="","",I71),IF(SUMIFS('Häutungen'!$D$7:$D$1006,'Häutungen'!$A$7:$A$1006,A71,'Häutungen'!$C$7:$C$1006,S71)&gt;0,SUMIFS('Häutungen'!$D$7:$D$1006,'Häutungen'!$A$7:$A$1006,A71,'Häutungen'!$C$7:$C$1006,S71),IF(I71="","",I71))))</f>
        <v/>
      </c>
      <c r="Y71" s="66">
        <f>IF(A71="","",IF(COUNTIFS('Fütterung'!$A$7:$A$2006,A71,'Fütterung'!$E$7:$E$2006,"Ja")=0,"",_xlfn.MAXIFS('Fütterung'!$C$7:$C$2006,'Fütterung'!$A$7:$A$2006,A71,'Fütterung'!$E$7:$E$2006,"Ja")))</f>
        <v/>
      </c>
      <c r="Z71" s="67">
        <f>IF(Y71="","",TODAY()-Y71)</f>
        <v/>
      </c>
      <c r="AA71" s="65">
        <f>IF(A71="","",IF(AND(F71="männlich",H71="Adult"),"Adultes Männchen",IF(AND(Z71&lt;&gt;"",N(Z71)&gt;=FutterGrenze),"Frisst nicht",IF(U71="","Zu wenig Daten",IF(V71&gt;U71*TpM*FaktorUeber,"Überfällig",IF(V71&gt;U71*TpM*FaktorBald,"Fällig","Im Plan"))))))</f>
        <v/>
      </c>
      <c r="AB71" s="69">
        <f>IF(AND(AC71=1,W71&lt;&gt;""),N(W71)+ROW()/100000,"")</f>
        <v/>
      </c>
      <c r="AC71" s="69">
        <f>IF(A71="","",IF(SUBTOTAL(103,A71)=1,1,0))</f>
        <v/>
      </c>
    </row>
    <row r="72" ht="20" customHeight="1">
      <c r="A72" s="60" t="n"/>
      <c r="B72" s="61" t="n"/>
      <c r="C72" s="61" t="n"/>
      <c r="D72" s="61" t="n"/>
      <c r="E72" s="60" t="n"/>
      <c r="F72" s="60" t="n"/>
      <c r="G72" s="60" t="n"/>
      <c r="H72" s="60" t="n"/>
      <c r="I72" s="62" t="n"/>
      <c r="J72" s="63" t="n"/>
      <c r="K72" s="61" t="n"/>
      <c r="L72" s="64" t="n"/>
      <c r="M72" s="60" t="n"/>
      <c r="N72" s="60" t="n"/>
      <c r="O72" s="60" t="n"/>
      <c r="P72" s="61" t="n"/>
      <c r="Q72" s="61" t="n"/>
      <c r="R72" s="65">
        <f>IF(A72="","",TRIM(C72&amp;" "&amp;D72))</f>
        <v/>
      </c>
      <c r="S72" s="66">
        <f>IF(A72="","",IF(COUNTIFS('Häutungen'!$A$7:$A$1006,A72,'Häutungen'!$C$7:$C$1006,"&gt;0")=0,"",_xlfn.MAXIFS('Häutungen'!$C$7:$C$1006,'Häutungen'!$A$7:$A$1006,A72)))</f>
        <v/>
      </c>
      <c r="T72" s="67">
        <f>IF(A72="","",COUNTIFS('Häutungen'!$A$7:$A$1006,A72,'Häutungen'!$C$7:$C$1006,"&gt;0"))</f>
        <v/>
      </c>
      <c r="U72" s="68">
        <f>IF(A72="","",IF(T72&lt;2,"",IFERROR(AVERAGEIFS('Häutungen'!$J$7:$J$1006,'Häutungen'!$A$7:$A$1006,A72,'Häutungen'!$K$7:$K$1006,"&lt;3",'Häutungen'!$I$7:$I$1006,"&gt;0"),"")))</f>
        <v/>
      </c>
      <c r="V72" s="67">
        <f>IF(S72="","",TODAY()-S72)</f>
        <v/>
      </c>
      <c r="W72" s="66">
        <f>IF(OR(U72="",AND(F72="männlich",H72="Adult")),"",S72+ROUND(U72*TpM,0))</f>
        <v/>
      </c>
      <c r="X72" s="68">
        <f>IF(A72="","",IF(S72="",IF(I72="","",I72),IF(SUMIFS('Häutungen'!$D$7:$D$1006,'Häutungen'!$A$7:$A$1006,A72,'Häutungen'!$C$7:$C$1006,S72)&gt;0,SUMIFS('Häutungen'!$D$7:$D$1006,'Häutungen'!$A$7:$A$1006,A72,'Häutungen'!$C$7:$C$1006,S72),IF(I72="","",I72))))</f>
        <v/>
      </c>
      <c r="Y72" s="66">
        <f>IF(A72="","",IF(COUNTIFS('Fütterung'!$A$7:$A$2006,A72,'Fütterung'!$E$7:$E$2006,"Ja")=0,"",_xlfn.MAXIFS('Fütterung'!$C$7:$C$2006,'Fütterung'!$A$7:$A$2006,A72,'Fütterung'!$E$7:$E$2006,"Ja")))</f>
        <v/>
      </c>
      <c r="Z72" s="67">
        <f>IF(Y72="","",TODAY()-Y72)</f>
        <v/>
      </c>
      <c r="AA72" s="65">
        <f>IF(A72="","",IF(AND(F72="männlich",H72="Adult"),"Adultes Männchen",IF(AND(Z72&lt;&gt;"",N(Z72)&gt;=FutterGrenze),"Frisst nicht",IF(U72="","Zu wenig Daten",IF(V72&gt;U72*TpM*FaktorUeber,"Überfällig",IF(V72&gt;U72*TpM*FaktorBald,"Fällig","Im Plan"))))))</f>
        <v/>
      </c>
      <c r="AB72" s="69">
        <f>IF(AND(AC72=1,W72&lt;&gt;""),N(W72)+ROW()/100000,"")</f>
        <v/>
      </c>
      <c r="AC72" s="69">
        <f>IF(A72="","",IF(SUBTOTAL(103,A72)=1,1,0))</f>
        <v/>
      </c>
    </row>
    <row r="73" ht="20" customHeight="1">
      <c r="A73" s="60" t="n"/>
      <c r="B73" s="61" t="n"/>
      <c r="C73" s="61" t="n"/>
      <c r="D73" s="61" t="n"/>
      <c r="E73" s="60" t="n"/>
      <c r="F73" s="60" t="n"/>
      <c r="G73" s="60" t="n"/>
      <c r="H73" s="60" t="n"/>
      <c r="I73" s="62" t="n"/>
      <c r="J73" s="63" t="n"/>
      <c r="K73" s="61" t="n"/>
      <c r="L73" s="64" t="n"/>
      <c r="M73" s="60" t="n"/>
      <c r="N73" s="60" t="n"/>
      <c r="O73" s="60" t="n"/>
      <c r="P73" s="61" t="n"/>
      <c r="Q73" s="61" t="n"/>
      <c r="R73" s="65">
        <f>IF(A73="","",TRIM(C73&amp;" "&amp;D73))</f>
        <v/>
      </c>
      <c r="S73" s="66">
        <f>IF(A73="","",IF(COUNTIFS('Häutungen'!$A$7:$A$1006,A73,'Häutungen'!$C$7:$C$1006,"&gt;0")=0,"",_xlfn.MAXIFS('Häutungen'!$C$7:$C$1006,'Häutungen'!$A$7:$A$1006,A73)))</f>
        <v/>
      </c>
      <c r="T73" s="67">
        <f>IF(A73="","",COUNTIFS('Häutungen'!$A$7:$A$1006,A73,'Häutungen'!$C$7:$C$1006,"&gt;0"))</f>
        <v/>
      </c>
      <c r="U73" s="68">
        <f>IF(A73="","",IF(T73&lt;2,"",IFERROR(AVERAGEIFS('Häutungen'!$J$7:$J$1006,'Häutungen'!$A$7:$A$1006,A73,'Häutungen'!$K$7:$K$1006,"&lt;3",'Häutungen'!$I$7:$I$1006,"&gt;0"),"")))</f>
        <v/>
      </c>
      <c r="V73" s="67">
        <f>IF(S73="","",TODAY()-S73)</f>
        <v/>
      </c>
      <c r="W73" s="66">
        <f>IF(OR(U73="",AND(F73="männlich",H73="Adult")),"",S73+ROUND(U73*TpM,0))</f>
        <v/>
      </c>
      <c r="X73" s="68">
        <f>IF(A73="","",IF(S73="",IF(I73="","",I73),IF(SUMIFS('Häutungen'!$D$7:$D$1006,'Häutungen'!$A$7:$A$1006,A73,'Häutungen'!$C$7:$C$1006,S73)&gt;0,SUMIFS('Häutungen'!$D$7:$D$1006,'Häutungen'!$A$7:$A$1006,A73,'Häutungen'!$C$7:$C$1006,S73),IF(I73="","",I73))))</f>
        <v/>
      </c>
      <c r="Y73" s="66">
        <f>IF(A73="","",IF(COUNTIFS('Fütterung'!$A$7:$A$2006,A73,'Fütterung'!$E$7:$E$2006,"Ja")=0,"",_xlfn.MAXIFS('Fütterung'!$C$7:$C$2006,'Fütterung'!$A$7:$A$2006,A73,'Fütterung'!$E$7:$E$2006,"Ja")))</f>
        <v/>
      </c>
      <c r="Z73" s="67">
        <f>IF(Y73="","",TODAY()-Y73)</f>
        <v/>
      </c>
      <c r="AA73" s="65">
        <f>IF(A73="","",IF(AND(F73="männlich",H73="Adult"),"Adultes Männchen",IF(AND(Z73&lt;&gt;"",N(Z73)&gt;=FutterGrenze),"Frisst nicht",IF(U73="","Zu wenig Daten",IF(V73&gt;U73*TpM*FaktorUeber,"Überfällig",IF(V73&gt;U73*TpM*FaktorBald,"Fällig","Im Plan"))))))</f>
        <v/>
      </c>
      <c r="AB73" s="69">
        <f>IF(AND(AC73=1,W73&lt;&gt;""),N(W73)+ROW()/100000,"")</f>
        <v/>
      </c>
      <c r="AC73" s="69">
        <f>IF(A73="","",IF(SUBTOTAL(103,A73)=1,1,0))</f>
        <v/>
      </c>
    </row>
    <row r="74" ht="20" customHeight="1">
      <c r="A74" s="60" t="n"/>
      <c r="B74" s="61" t="n"/>
      <c r="C74" s="61" t="n"/>
      <c r="D74" s="61" t="n"/>
      <c r="E74" s="60" t="n"/>
      <c r="F74" s="60" t="n"/>
      <c r="G74" s="60" t="n"/>
      <c r="H74" s="60" t="n"/>
      <c r="I74" s="62" t="n"/>
      <c r="J74" s="63" t="n"/>
      <c r="K74" s="61" t="n"/>
      <c r="L74" s="64" t="n"/>
      <c r="M74" s="60" t="n"/>
      <c r="N74" s="60" t="n"/>
      <c r="O74" s="60" t="n"/>
      <c r="P74" s="61" t="n"/>
      <c r="Q74" s="61" t="n"/>
      <c r="R74" s="65">
        <f>IF(A74="","",TRIM(C74&amp;" "&amp;D74))</f>
        <v/>
      </c>
      <c r="S74" s="66">
        <f>IF(A74="","",IF(COUNTIFS('Häutungen'!$A$7:$A$1006,A74,'Häutungen'!$C$7:$C$1006,"&gt;0")=0,"",_xlfn.MAXIFS('Häutungen'!$C$7:$C$1006,'Häutungen'!$A$7:$A$1006,A74)))</f>
        <v/>
      </c>
      <c r="T74" s="67">
        <f>IF(A74="","",COUNTIFS('Häutungen'!$A$7:$A$1006,A74,'Häutungen'!$C$7:$C$1006,"&gt;0"))</f>
        <v/>
      </c>
      <c r="U74" s="68">
        <f>IF(A74="","",IF(T74&lt;2,"",IFERROR(AVERAGEIFS('Häutungen'!$J$7:$J$1006,'Häutungen'!$A$7:$A$1006,A74,'Häutungen'!$K$7:$K$1006,"&lt;3",'Häutungen'!$I$7:$I$1006,"&gt;0"),"")))</f>
        <v/>
      </c>
      <c r="V74" s="67">
        <f>IF(S74="","",TODAY()-S74)</f>
        <v/>
      </c>
      <c r="W74" s="66">
        <f>IF(OR(U74="",AND(F74="männlich",H74="Adult")),"",S74+ROUND(U74*TpM,0))</f>
        <v/>
      </c>
      <c r="X74" s="68">
        <f>IF(A74="","",IF(S74="",IF(I74="","",I74),IF(SUMIFS('Häutungen'!$D$7:$D$1006,'Häutungen'!$A$7:$A$1006,A74,'Häutungen'!$C$7:$C$1006,S74)&gt;0,SUMIFS('Häutungen'!$D$7:$D$1006,'Häutungen'!$A$7:$A$1006,A74,'Häutungen'!$C$7:$C$1006,S74),IF(I74="","",I74))))</f>
        <v/>
      </c>
      <c r="Y74" s="66">
        <f>IF(A74="","",IF(COUNTIFS('Fütterung'!$A$7:$A$2006,A74,'Fütterung'!$E$7:$E$2006,"Ja")=0,"",_xlfn.MAXIFS('Fütterung'!$C$7:$C$2006,'Fütterung'!$A$7:$A$2006,A74,'Fütterung'!$E$7:$E$2006,"Ja")))</f>
        <v/>
      </c>
      <c r="Z74" s="67">
        <f>IF(Y74="","",TODAY()-Y74)</f>
        <v/>
      </c>
      <c r="AA74" s="65">
        <f>IF(A74="","",IF(AND(F74="männlich",H74="Adult"),"Adultes Männchen",IF(AND(Z74&lt;&gt;"",N(Z74)&gt;=FutterGrenze),"Frisst nicht",IF(U74="","Zu wenig Daten",IF(V74&gt;U74*TpM*FaktorUeber,"Überfällig",IF(V74&gt;U74*TpM*FaktorBald,"Fällig","Im Plan"))))))</f>
        <v/>
      </c>
      <c r="AB74" s="69">
        <f>IF(AND(AC74=1,W74&lt;&gt;""),N(W74)+ROW()/100000,"")</f>
        <v/>
      </c>
      <c r="AC74" s="69">
        <f>IF(A74="","",IF(SUBTOTAL(103,A74)=1,1,0))</f>
        <v/>
      </c>
    </row>
    <row r="75" ht="20" customHeight="1">
      <c r="A75" s="60" t="n"/>
      <c r="B75" s="61" t="n"/>
      <c r="C75" s="61" t="n"/>
      <c r="D75" s="61" t="n"/>
      <c r="E75" s="60" t="n"/>
      <c r="F75" s="60" t="n"/>
      <c r="G75" s="60" t="n"/>
      <c r="H75" s="60" t="n"/>
      <c r="I75" s="62" t="n"/>
      <c r="J75" s="63" t="n"/>
      <c r="K75" s="61" t="n"/>
      <c r="L75" s="64" t="n"/>
      <c r="M75" s="60" t="n"/>
      <c r="N75" s="60" t="n"/>
      <c r="O75" s="60" t="n"/>
      <c r="P75" s="61" t="n"/>
      <c r="Q75" s="61" t="n"/>
      <c r="R75" s="65">
        <f>IF(A75="","",TRIM(C75&amp;" "&amp;D75))</f>
        <v/>
      </c>
      <c r="S75" s="66">
        <f>IF(A75="","",IF(COUNTIFS('Häutungen'!$A$7:$A$1006,A75,'Häutungen'!$C$7:$C$1006,"&gt;0")=0,"",_xlfn.MAXIFS('Häutungen'!$C$7:$C$1006,'Häutungen'!$A$7:$A$1006,A75)))</f>
        <v/>
      </c>
      <c r="T75" s="67">
        <f>IF(A75="","",COUNTIFS('Häutungen'!$A$7:$A$1006,A75,'Häutungen'!$C$7:$C$1006,"&gt;0"))</f>
        <v/>
      </c>
      <c r="U75" s="68">
        <f>IF(A75="","",IF(T75&lt;2,"",IFERROR(AVERAGEIFS('Häutungen'!$J$7:$J$1006,'Häutungen'!$A$7:$A$1006,A75,'Häutungen'!$K$7:$K$1006,"&lt;3",'Häutungen'!$I$7:$I$1006,"&gt;0"),"")))</f>
        <v/>
      </c>
      <c r="V75" s="67">
        <f>IF(S75="","",TODAY()-S75)</f>
        <v/>
      </c>
      <c r="W75" s="66">
        <f>IF(OR(U75="",AND(F75="männlich",H75="Adult")),"",S75+ROUND(U75*TpM,0))</f>
        <v/>
      </c>
      <c r="X75" s="68">
        <f>IF(A75="","",IF(S75="",IF(I75="","",I75),IF(SUMIFS('Häutungen'!$D$7:$D$1006,'Häutungen'!$A$7:$A$1006,A75,'Häutungen'!$C$7:$C$1006,S75)&gt;0,SUMIFS('Häutungen'!$D$7:$D$1006,'Häutungen'!$A$7:$A$1006,A75,'Häutungen'!$C$7:$C$1006,S75),IF(I75="","",I75))))</f>
        <v/>
      </c>
      <c r="Y75" s="66">
        <f>IF(A75="","",IF(COUNTIFS('Fütterung'!$A$7:$A$2006,A75,'Fütterung'!$E$7:$E$2006,"Ja")=0,"",_xlfn.MAXIFS('Fütterung'!$C$7:$C$2006,'Fütterung'!$A$7:$A$2006,A75,'Fütterung'!$E$7:$E$2006,"Ja")))</f>
        <v/>
      </c>
      <c r="Z75" s="67">
        <f>IF(Y75="","",TODAY()-Y75)</f>
        <v/>
      </c>
      <c r="AA75" s="65">
        <f>IF(A75="","",IF(AND(F75="männlich",H75="Adult"),"Adultes Männchen",IF(AND(Z75&lt;&gt;"",N(Z75)&gt;=FutterGrenze),"Frisst nicht",IF(U75="","Zu wenig Daten",IF(V75&gt;U75*TpM*FaktorUeber,"Überfällig",IF(V75&gt;U75*TpM*FaktorBald,"Fällig","Im Plan"))))))</f>
        <v/>
      </c>
      <c r="AB75" s="69">
        <f>IF(AND(AC75=1,W75&lt;&gt;""),N(W75)+ROW()/100000,"")</f>
        <v/>
      </c>
      <c r="AC75" s="69">
        <f>IF(A75="","",IF(SUBTOTAL(103,A75)=1,1,0))</f>
        <v/>
      </c>
    </row>
    <row r="76" ht="20" customHeight="1">
      <c r="A76" s="60" t="n"/>
      <c r="B76" s="61" t="n"/>
      <c r="C76" s="61" t="n"/>
      <c r="D76" s="61" t="n"/>
      <c r="E76" s="60" t="n"/>
      <c r="F76" s="60" t="n"/>
      <c r="G76" s="60" t="n"/>
      <c r="H76" s="60" t="n"/>
      <c r="I76" s="62" t="n"/>
      <c r="J76" s="63" t="n"/>
      <c r="K76" s="61" t="n"/>
      <c r="L76" s="64" t="n"/>
      <c r="M76" s="60" t="n"/>
      <c r="N76" s="60" t="n"/>
      <c r="O76" s="60" t="n"/>
      <c r="P76" s="61" t="n"/>
      <c r="Q76" s="61" t="n"/>
      <c r="R76" s="65">
        <f>IF(A76="","",TRIM(C76&amp;" "&amp;D76))</f>
        <v/>
      </c>
      <c r="S76" s="66">
        <f>IF(A76="","",IF(COUNTIFS('Häutungen'!$A$7:$A$1006,A76,'Häutungen'!$C$7:$C$1006,"&gt;0")=0,"",_xlfn.MAXIFS('Häutungen'!$C$7:$C$1006,'Häutungen'!$A$7:$A$1006,A76)))</f>
        <v/>
      </c>
      <c r="T76" s="67">
        <f>IF(A76="","",COUNTIFS('Häutungen'!$A$7:$A$1006,A76,'Häutungen'!$C$7:$C$1006,"&gt;0"))</f>
        <v/>
      </c>
      <c r="U76" s="68">
        <f>IF(A76="","",IF(T76&lt;2,"",IFERROR(AVERAGEIFS('Häutungen'!$J$7:$J$1006,'Häutungen'!$A$7:$A$1006,A76,'Häutungen'!$K$7:$K$1006,"&lt;3",'Häutungen'!$I$7:$I$1006,"&gt;0"),"")))</f>
        <v/>
      </c>
      <c r="V76" s="67">
        <f>IF(S76="","",TODAY()-S76)</f>
        <v/>
      </c>
      <c r="W76" s="66">
        <f>IF(OR(U76="",AND(F76="männlich",H76="Adult")),"",S76+ROUND(U76*TpM,0))</f>
        <v/>
      </c>
      <c r="X76" s="68">
        <f>IF(A76="","",IF(S76="",IF(I76="","",I76),IF(SUMIFS('Häutungen'!$D$7:$D$1006,'Häutungen'!$A$7:$A$1006,A76,'Häutungen'!$C$7:$C$1006,S76)&gt;0,SUMIFS('Häutungen'!$D$7:$D$1006,'Häutungen'!$A$7:$A$1006,A76,'Häutungen'!$C$7:$C$1006,S76),IF(I76="","",I76))))</f>
        <v/>
      </c>
      <c r="Y76" s="66">
        <f>IF(A76="","",IF(COUNTIFS('Fütterung'!$A$7:$A$2006,A76,'Fütterung'!$E$7:$E$2006,"Ja")=0,"",_xlfn.MAXIFS('Fütterung'!$C$7:$C$2006,'Fütterung'!$A$7:$A$2006,A76,'Fütterung'!$E$7:$E$2006,"Ja")))</f>
        <v/>
      </c>
      <c r="Z76" s="67">
        <f>IF(Y76="","",TODAY()-Y76)</f>
        <v/>
      </c>
      <c r="AA76" s="65">
        <f>IF(A76="","",IF(AND(F76="männlich",H76="Adult"),"Adultes Männchen",IF(AND(Z76&lt;&gt;"",N(Z76)&gt;=FutterGrenze),"Frisst nicht",IF(U76="","Zu wenig Daten",IF(V76&gt;U76*TpM*FaktorUeber,"Überfällig",IF(V76&gt;U76*TpM*FaktorBald,"Fällig","Im Plan"))))))</f>
        <v/>
      </c>
      <c r="AB76" s="69">
        <f>IF(AND(AC76=1,W76&lt;&gt;""),N(W76)+ROW()/100000,"")</f>
        <v/>
      </c>
      <c r="AC76" s="69">
        <f>IF(A76="","",IF(SUBTOTAL(103,A76)=1,1,0))</f>
        <v/>
      </c>
    </row>
    <row r="77" ht="20" customHeight="1">
      <c r="A77" s="60" t="n"/>
      <c r="B77" s="61" t="n"/>
      <c r="C77" s="61" t="n"/>
      <c r="D77" s="61" t="n"/>
      <c r="E77" s="60" t="n"/>
      <c r="F77" s="60" t="n"/>
      <c r="G77" s="60" t="n"/>
      <c r="H77" s="60" t="n"/>
      <c r="I77" s="62" t="n"/>
      <c r="J77" s="63" t="n"/>
      <c r="K77" s="61" t="n"/>
      <c r="L77" s="64" t="n"/>
      <c r="M77" s="60" t="n"/>
      <c r="N77" s="60" t="n"/>
      <c r="O77" s="60" t="n"/>
      <c r="P77" s="61" t="n"/>
      <c r="Q77" s="61" t="n"/>
      <c r="R77" s="65">
        <f>IF(A77="","",TRIM(C77&amp;" "&amp;D77))</f>
        <v/>
      </c>
      <c r="S77" s="66">
        <f>IF(A77="","",IF(COUNTIFS('Häutungen'!$A$7:$A$1006,A77,'Häutungen'!$C$7:$C$1006,"&gt;0")=0,"",_xlfn.MAXIFS('Häutungen'!$C$7:$C$1006,'Häutungen'!$A$7:$A$1006,A77)))</f>
        <v/>
      </c>
      <c r="T77" s="67">
        <f>IF(A77="","",COUNTIFS('Häutungen'!$A$7:$A$1006,A77,'Häutungen'!$C$7:$C$1006,"&gt;0"))</f>
        <v/>
      </c>
      <c r="U77" s="68">
        <f>IF(A77="","",IF(T77&lt;2,"",IFERROR(AVERAGEIFS('Häutungen'!$J$7:$J$1006,'Häutungen'!$A$7:$A$1006,A77,'Häutungen'!$K$7:$K$1006,"&lt;3",'Häutungen'!$I$7:$I$1006,"&gt;0"),"")))</f>
        <v/>
      </c>
      <c r="V77" s="67">
        <f>IF(S77="","",TODAY()-S77)</f>
        <v/>
      </c>
      <c r="W77" s="66">
        <f>IF(OR(U77="",AND(F77="männlich",H77="Adult")),"",S77+ROUND(U77*TpM,0))</f>
        <v/>
      </c>
      <c r="X77" s="68">
        <f>IF(A77="","",IF(S77="",IF(I77="","",I77),IF(SUMIFS('Häutungen'!$D$7:$D$1006,'Häutungen'!$A$7:$A$1006,A77,'Häutungen'!$C$7:$C$1006,S77)&gt;0,SUMIFS('Häutungen'!$D$7:$D$1006,'Häutungen'!$A$7:$A$1006,A77,'Häutungen'!$C$7:$C$1006,S77),IF(I77="","",I77))))</f>
        <v/>
      </c>
      <c r="Y77" s="66">
        <f>IF(A77="","",IF(COUNTIFS('Fütterung'!$A$7:$A$2006,A77,'Fütterung'!$E$7:$E$2006,"Ja")=0,"",_xlfn.MAXIFS('Fütterung'!$C$7:$C$2006,'Fütterung'!$A$7:$A$2006,A77,'Fütterung'!$E$7:$E$2006,"Ja")))</f>
        <v/>
      </c>
      <c r="Z77" s="67">
        <f>IF(Y77="","",TODAY()-Y77)</f>
        <v/>
      </c>
      <c r="AA77" s="65">
        <f>IF(A77="","",IF(AND(F77="männlich",H77="Adult"),"Adultes Männchen",IF(AND(Z77&lt;&gt;"",N(Z77)&gt;=FutterGrenze),"Frisst nicht",IF(U77="","Zu wenig Daten",IF(V77&gt;U77*TpM*FaktorUeber,"Überfällig",IF(V77&gt;U77*TpM*FaktorBald,"Fällig","Im Plan"))))))</f>
        <v/>
      </c>
      <c r="AB77" s="69">
        <f>IF(AND(AC77=1,W77&lt;&gt;""),N(W77)+ROW()/100000,"")</f>
        <v/>
      </c>
      <c r="AC77" s="69">
        <f>IF(A77="","",IF(SUBTOTAL(103,A77)=1,1,0))</f>
        <v/>
      </c>
    </row>
    <row r="78" ht="20" customHeight="1">
      <c r="A78" s="60" t="n"/>
      <c r="B78" s="61" t="n"/>
      <c r="C78" s="61" t="n"/>
      <c r="D78" s="61" t="n"/>
      <c r="E78" s="60" t="n"/>
      <c r="F78" s="60" t="n"/>
      <c r="G78" s="60" t="n"/>
      <c r="H78" s="60" t="n"/>
      <c r="I78" s="62" t="n"/>
      <c r="J78" s="63" t="n"/>
      <c r="K78" s="61" t="n"/>
      <c r="L78" s="64" t="n"/>
      <c r="M78" s="60" t="n"/>
      <c r="N78" s="60" t="n"/>
      <c r="O78" s="60" t="n"/>
      <c r="P78" s="61" t="n"/>
      <c r="Q78" s="61" t="n"/>
      <c r="R78" s="65">
        <f>IF(A78="","",TRIM(C78&amp;" "&amp;D78))</f>
        <v/>
      </c>
      <c r="S78" s="66">
        <f>IF(A78="","",IF(COUNTIFS('Häutungen'!$A$7:$A$1006,A78,'Häutungen'!$C$7:$C$1006,"&gt;0")=0,"",_xlfn.MAXIFS('Häutungen'!$C$7:$C$1006,'Häutungen'!$A$7:$A$1006,A78)))</f>
        <v/>
      </c>
      <c r="T78" s="67">
        <f>IF(A78="","",COUNTIFS('Häutungen'!$A$7:$A$1006,A78,'Häutungen'!$C$7:$C$1006,"&gt;0"))</f>
        <v/>
      </c>
      <c r="U78" s="68">
        <f>IF(A78="","",IF(T78&lt;2,"",IFERROR(AVERAGEIFS('Häutungen'!$J$7:$J$1006,'Häutungen'!$A$7:$A$1006,A78,'Häutungen'!$K$7:$K$1006,"&lt;3",'Häutungen'!$I$7:$I$1006,"&gt;0"),"")))</f>
        <v/>
      </c>
      <c r="V78" s="67">
        <f>IF(S78="","",TODAY()-S78)</f>
        <v/>
      </c>
      <c r="W78" s="66">
        <f>IF(OR(U78="",AND(F78="männlich",H78="Adult")),"",S78+ROUND(U78*TpM,0))</f>
        <v/>
      </c>
      <c r="X78" s="68">
        <f>IF(A78="","",IF(S78="",IF(I78="","",I78),IF(SUMIFS('Häutungen'!$D$7:$D$1006,'Häutungen'!$A$7:$A$1006,A78,'Häutungen'!$C$7:$C$1006,S78)&gt;0,SUMIFS('Häutungen'!$D$7:$D$1006,'Häutungen'!$A$7:$A$1006,A78,'Häutungen'!$C$7:$C$1006,S78),IF(I78="","",I78))))</f>
        <v/>
      </c>
      <c r="Y78" s="66">
        <f>IF(A78="","",IF(COUNTIFS('Fütterung'!$A$7:$A$2006,A78,'Fütterung'!$E$7:$E$2006,"Ja")=0,"",_xlfn.MAXIFS('Fütterung'!$C$7:$C$2006,'Fütterung'!$A$7:$A$2006,A78,'Fütterung'!$E$7:$E$2006,"Ja")))</f>
        <v/>
      </c>
      <c r="Z78" s="67">
        <f>IF(Y78="","",TODAY()-Y78)</f>
        <v/>
      </c>
      <c r="AA78" s="65">
        <f>IF(A78="","",IF(AND(F78="männlich",H78="Adult"),"Adultes Männchen",IF(AND(Z78&lt;&gt;"",N(Z78)&gt;=FutterGrenze),"Frisst nicht",IF(U78="","Zu wenig Daten",IF(V78&gt;U78*TpM*FaktorUeber,"Überfällig",IF(V78&gt;U78*TpM*FaktorBald,"Fällig","Im Plan"))))))</f>
        <v/>
      </c>
      <c r="AB78" s="69">
        <f>IF(AND(AC78=1,W78&lt;&gt;""),N(W78)+ROW()/100000,"")</f>
        <v/>
      </c>
      <c r="AC78" s="69">
        <f>IF(A78="","",IF(SUBTOTAL(103,A78)=1,1,0))</f>
        <v/>
      </c>
    </row>
    <row r="79" ht="20" customHeight="1">
      <c r="A79" s="60" t="n"/>
      <c r="B79" s="61" t="n"/>
      <c r="C79" s="61" t="n"/>
      <c r="D79" s="61" t="n"/>
      <c r="E79" s="60" t="n"/>
      <c r="F79" s="60" t="n"/>
      <c r="G79" s="60" t="n"/>
      <c r="H79" s="60" t="n"/>
      <c r="I79" s="62" t="n"/>
      <c r="J79" s="63" t="n"/>
      <c r="K79" s="61" t="n"/>
      <c r="L79" s="64" t="n"/>
      <c r="M79" s="60" t="n"/>
      <c r="N79" s="60" t="n"/>
      <c r="O79" s="60" t="n"/>
      <c r="P79" s="61" t="n"/>
      <c r="Q79" s="61" t="n"/>
      <c r="R79" s="65">
        <f>IF(A79="","",TRIM(C79&amp;" "&amp;D79))</f>
        <v/>
      </c>
      <c r="S79" s="66">
        <f>IF(A79="","",IF(COUNTIFS('Häutungen'!$A$7:$A$1006,A79,'Häutungen'!$C$7:$C$1006,"&gt;0")=0,"",_xlfn.MAXIFS('Häutungen'!$C$7:$C$1006,'Häutungen'!$A$7:$A$1006,A79)))</f>
        <v/>
      </c>
      <c r="T79" s="67">
        <f>IF(A79="","",COUNTIFS('Häutungen'!$A$7:$A$1006,A79,'Häutungen'!$C$7:$C$1006,"&gt;0"))</f>
        <v/>
      </c>
      <c r="U79" s="68">
        <f>IF(A79="","",IF(T79&lt;2,"",IFERROR(AVERAGEIFS('Häutungen'!$J$7:$J$1006,'Häutungen'!$A$7:$A$1006,A79,'Häutungen'!$K$7:$K$1006,"&lt;3",'Häutungen'!$I$7:$I$1006,"&gt;0"),"")))</f>
        <v/>
      </c>
      <c r="V79" s="67">
        <f>IF(S79="","",TODAY()-S79)</f>
        <v/>
      </c>
      <c r="W79" s="66">
        <f>IF(OR(U79="",AND(F79="männlich",H79="Adult")),"",S79+ROUND(U79*TpM,0))</f>
        <v/>
      </c>
      <c r="X79" s="68">
        <f>IF(A79="","",IF(S79="",IF(I79="","",I79),IF(SUMIFS('Häutungen'!$D$7:$D$1006,'Häutungen'!$A$7:$A$1006,A79,'Häutungen'!$C$7:$C$1006,S79)&gt;0,SUMIFS('Häutungen'!$D$7:$D$1006,'Häutungen'!$A$7:$A$1006,A79,'Häutungen'!$C$7:$C$1006,S79),IF(I79="","",I79))))</f>
        <v/>
      </c>
      <c r="Y79" s="66">
        <f>IF(A79="","",IF(COUNTIFS('Fütterung'!$A$7:$A$2006,A79,'Fütterung'!$E$7:$E$2006,"Ja")=0,"",_xlfn.MAXIFS('Fütterung'!$C$7:$C$2006,'Fütterung'!$A$7:$A$2006,A79,'Fütterung'!$E$7:$E$2006,"Ja")))</f>
        <v/>
      </c>
      <c r="Z79" s="67">
        <f>IF(Y79="","",TODAY()-Y79)</f>
        <v/>
      </c>
      <c r="AA79" s="65">
        <f>IF(A79="","",IF(AND(F79="männlich",H79="Adult"),"Adultes Männchen",IF(AND(Z79&lt;&gt;"",N(Z79)&gt;=FutterGrenze),"Frisst nicht",IF(U79="","Zu wenig Daten",IF(V79&gt;U79*TpM*FaktorUeber,"Überfällig",IF(V79&gt;U79*TpM*FaktorBald,"Fällig","Im Plan"))))))</f>
        <v/>
      </c>
      <c r="AB79" s="69">
        <f>IF(AND(AC79=1,W79&lt;&gt;""),N(W79)+ROW()/100000,"")</f>
        <v/>
      </c>
      <c r="AC79" s="69">
        <f>IF(A79="","",IF(SUBTOTAL(103,A79)=1,1,0))</f>
        <v/>
      </c>
    </row>
    <row r="80" ht="20" customHeight="1">
      <c r="A80" s="60" t="n"/>
      <c r="B80" s="61" t="n"/>
      <c r="C80" s="61" t="n"/>
      <c r="D80" s="61" t="n"/>
      <c r="E80" s="60" t="n"/>
      <c r="F80" s="60" t="n"/>
      <c r="G80" s="60" t="n"/>
      <c r="H80" s="60" t="n"/>
      <c r="I80" s="62" t="n"/>
      <c r="J80" s="63" t="n"/>
      <c r="K80" s="61" t="n"/>
      <c r="L80" s="64" t="n"/>
      <c r="M80" s="60" t="n"/>
      <c r="N80" s="60" t="n"/>
      <c r="O80" s="60" t="n"/>
      <c r="P80" s="61" t="n"/>
      <c r="Q80" s="61" t="n"/>
      <c r="R80" s="65">
        <f>IF(A80="","",TRIM(C80&amp;" "&amp;D80))</f>
        <v/>
      </c>
      <c r="S80" s="66">
        <f>IF(A80="","",IF(COUNTIFS('Häutungen'!$A$7:$A$1006,A80,'Häutungen'!$C$7:$C$1006,"&gt;0")=0,"",_xlfn.MAXIFS('Häutungen'!$C$7:$C$1006,'Häutungen'!$A$7:$A$1006,A80)))</f>
        <v/>
      </c>
      <c r="T80" s="67">
        <f>IF(A80="","",COUNTIFS('Häutungen'!$A$7:$A$1006,A80,'Häutungen'!$C$7:$C$1006,"&gt;0"))</f>
        <v/>
      </c>
      <c r="U80" s="68">
        <f>IF(A80="","",IF(T80&lt;2,"",IFERROR(AVERAGEIFS('Häutungen'!$J$7:$J$1006,'Häutungen'!$A$7:$A$1006,A80,'Häutungen'!$K$7:$K$1006,"&lt;3",'Häutungen'!$I$7:$I$1006,"&gt;0"),"")))</f>
        <v/>
      </c>
      <c r="V80" s="67">
        <f>IF(S80="","",TODAY()-S80)</f>
        <v/>
      </c>
      <c r="W80" s="66">
        <f>IF(OR(U80="",AND(F80="männlich",H80="Adult")),"",S80+ROUND(U80*TpM,0))</f>
        <v/>
      </c>
      <c r="X80" s="68">
        <f>IF(A80="","",IF(S80="",IF(I80="","",I80),IF(SUMIFS('Häutungen'!$D$7:$D$1006,'Häutungen'!$A$7:$A$1006,A80,'Häutungen'!$C$7:$C$1006,S80)&gt;0,SUMIFS('Häutungen'!$D$7:$D$1006,'Häutungen'!$A$7:$A$1006,A80,'Häutungen'!$C$7:$C$1006,S80),IF(I80="","",I80))))</f>
        <v/>
      </c>
      <c r="Y80" s="66">
        <f>IF(A80="","",IF(COUNTIFS('Fütterung'!$A$7:$A$2006,A80,'Fütterung'!$E$7:$E$2006,"Ja")=0,"",_xlfn.MAXIFS('Fütterung'!$C$7:$C$2006,'Fütterung'!$A$7:$A$2006,A80,'Fütterung'!$E$7:$E$2006,"Ja")))</f>
        <v/>
      </c>
      <c r="Z80" s="67">
        <f>IF(Y80="","",TODAY()-Y80)</f>
        <v/>
      </c>
      <c r="AA80" s="65">
        <f>IF(A80="","",IF(AND(F80="männlich",H80="Adult"),"Adultes Männchen",IF(AND(Z80&lt;&gt;"",N(Z80)&gt;=FutterGrenze),"Frisst nicht",IF(U80="","Zu wenig Daten",IF(V80&gt;U80*TpM*FaktorUeber,"Überfällig",IF(V80&gt;U80*TpM*FaktorBald,"Fällig","Im Plan"))))))</f>
        <v/>
      </c>
      <c r="AB80" s="69">
        <f>IF(AND(AC80=1,W80&lt;&gt;""),N(W80)+ROW()/100000,"")</f>
        <v/>
      </c>
      <c r="AC80" s="69">
        <f>IF(A80="","",IF(SUBTOTAL(103,A80)=1,1,0))</f>
        <v/>
      </c>
    </row>
    <row r="81" ht="20" customHeight="1">
      <c r="A81" s="60" t="n"/>
      <c r="B81" s="61" t="n"/>
      <c r="C81" s="61" t="n"/>
      <c r="D81" s="61" t="n"/>
      <c r="E81" s="60" t="n"/>
      <c r="F81" s="60" t="n"/>
      <c r="G81" s="60" t="n"/>
      <c r="H81" s="60" t="n"/>
      <c r="I81" s="62" t="n"/>
      <c r="J81" s="63" t="n"/>
      <c r="K81" s="61" t="n"/>
      <c r="L81" s="64" t="n"/>
      <c r="M81" s="60" t="n"/>
      <c r="N81" s="60" t="n"/>
      <c r="O81" s="60" t="n"/>
      <c r="P81" s="61" t="n"/>
      <c r="Q81" s="61" t="n"/>
      <c r="R81" s="65">
        <f>IF(A81="","",TRIM(C81&amp;" "&amp;D81))</f>
        <v/>
      </c>
      <c r="S81" s="66">
        <f>IF(A81="","",IF(COUNTIFS('Häutungen'!$A$7:$A$1006,A81,'Häutungen'!$C$7:$C$1006,"&gt;0")=0,"",_xlfn.MAXIFS('Häutungen'!$C$7:$C$1006,'Häutungen'!$A$7:$A$1006,A81)))</f>
        <v/>
      </c>
      <c r="T81" s="67">
        <f>IF(A81="","",COUNTIFS('Häutungen'!$A$7:$A$1006,A81,'Häutungen'!$C$7:$C$1006,"&gt;0"))</f>
        <v/>
      </c>
      <c r="U81" s="68">
        <f>IF(A81="","",IF(T81&lt;2,"",IFERROR(AVERAGEIFS('Häutungen'!$J$7:$J$1006,'Häutungen'!$A$7:$A$1006,A81,'Häutungen'!$K$7:$K$1006,"&lt;3",'Häutungen'!$I$7:$I$1006,"&gt;0"),"")))</f>
        <v/>
      </c>
      <c r="V81" s="67">
        <f>IF(S81="","",TODAY()-S81)</f>
        <v/>
      </c>
      <c r="W81" s="66">
        <f>IF(OR(U81="",AND(F81="männlich",H81="Adult")),"",S81+ROUND(U81*TpM,0))</f>
        <v/>
      </c>
      <c r="X81" s="68">
        <f>IF(A81="","",IF(S81="",IF(I81="","",I81),IF(SUMIFS('Häutungen'!$D$7:$D$1006,'Häutungen'!$A$7:$A$1006,A81,'Häutungen'!$C$7:$C$1006,S81)&gt;0,SUMIFS('Häutungen'!$D$7:$D$1006,'Häutungen'!$A$7:$A$1006,A81,'Häutungen'!$C$7:$C$1006,S81),IF(I81="","",I81))))</f>
        <v/>
      </c>
      <c r="Y81" s="66">
        <f>IF(A81="","",IF(COUNTIFS('Fütterung'!$A$7:$A$2006,A81,'Fütterung'!$E$7:$E$2006,"Ja")=0,"",_xlfn.MAXIFS('Fütterung'!$C$7:$C$2006,'Fütterung'!$A$7:$A$2006,A81,'Fütterung'!$E$7:$E$2006,"Ja")))</f>
        <v/>
      </c>
      <c r="Z81" s="67">
        <f>IF(Y81="","",TODAY()-Y81)</f>
        <v/>
      </c>
      <c r="AA81" s="65">
        <f>IF(A81="","",IF(AND(F81="männlich",H81="Adult"),"Adultes Männchen",IF(AND(Z81&lt;&gt;"",N(Z81)&gt;=FutterGrenze),"Frisst nicht",IF(U81="","Zu wenig Daten",IF(V81&gt;U81*TpM*FaktorUeber,"Überfällig",IF(V81&gt;U81*TpM*FaktorBald,"Fällig","Im Plan"))))))</f>
        <v/>
      </c>
      <c r="AB81" s="69">
        <f>IF(AND(AC81=1,W81&lt;&gt;""),N(W81)+ROW()/100000,"")</f>
        <v/>
      </c>
      <c r="AC81" s="69">
        <f>IF(A81="","",IF(SUBTOTAL(103,A81)=1,1,0))</f>
        <v/>
      </c>
    </row>
    <row r="82" ht="20" customHeight="1">
      <c r="A82" s="60" t="n"/>
      <c r="B82" s="61" t="n"/>
      <c r="C82" s="61" t="n"/>
      <c r="D82" s="61" t="n"/>
      <c r="E82" s="60" t="n"/>
      <c r="F82" s="60" t="n"/>
      <c r="G82" s="60" t="n"/>
      <c r="H82" s="60" t="n"/>
      <c r="I82" s="62" t="n"/>
      <c r="J82" s="63" t="n"/>
      <c r="K82" s="61" t="n"/>
      <c r="L82" s="64" t="n"/>
      <c r="M82" s="60" t="n"/>
      <c r="N82" s="60" t="n"/>
      <c r="O82" s="60" t="n"/>
      <c r="P82" s="61" t="n"/>
      <c r="Q82" s="61" t="n"/>
      <c r="R82" s="65">
        <f>IF(A82="","",TRIM(C82&amp;" "&amp;D82))</f>
        <v/>
      </c>
      <c r="S82" s="66">
        <f>IF(A82="","",IF(COUNTIFS('Häutungen'!$A$7:$A$1006,A82,'Häutungen'!$C$7:$C$1006,"&gt;0")=0,"",_xlfn.MAXIFS('Häutungen'!$C$7:$C$1006,'Häutungen'!$A$7:$A$1006,A82)))</f>
        <v/>
      </c>
      <c r="T82" s="67">
        <f>IF(A82="","",COUNTIFS('Häutungen'!$A$7:$A$1006,A82,'Häutungen'!$C$7:$C$1006,"&gt;0"))</f>
        <v/>
      </c>
      <c r="U82" s="68">
        <f>IF(A82="","",IF(T82&lt;2,"",IFERROR(AVERAGEIFS('Häutungen'!$J$7:$J$1006,'Häutungen'!$A$7:$A$1006,A82,'Häutungen'!$K$7:$K$1006,"&lt;3",'Häutungen'!$I$7:$I$1006,"&gt;0"),"")))</f>
        <v/>
      </c>
      <c r="V82" s="67">
        <f>IF(S82="","",TODAY()-S82)</f>
        <v/>
      </c>
      <c r="W82" s="66">
        <f>IF(OR(U82="",AND(F82="männlich",H82="Adult")),"",S82+ROUND(U82*TpM,0))</f>
        <v/>
      </c>
      <c r="X82" s="68">
        <f>IF(A82="","",IF(S82="",IF(I82="","",I82),IF(SUMIFS('Häutungen'!$D$7:$D$1006,'Häutungen'!$A$7:$A$1006,A82,'Häutungen'!$C$7:$C$1006,S82)&gt;0,SUMIFS('Häutungen'!$D$7:$D$1006,'Häutungen'!$A$7:$A$1006,A82,'Häutungen'!$C$7:$C$1006,S82),IF(I82="","",I82))))</f>
        <v/>
      </c>
      <c r="Y82" s="66">
        <f>IF(A82="","",IF(COUNTIFS('Fütterung'!$A$7:$A$2006,A82,'Fütterung'!$E$7:$E$2006,"Ja")=0,"",_xlfn.MAXIFS('Fütterung'!$C$7:$C$2006,'Fütterung'!$A$7:$A$2006,A82,'Fütterung'!$E$7:$E$2006,"Ja")))</f>
        <v/>
      </c>
      <c r="Z82" s="67">
        <f>IF(Y82="","",TODAY()-Y82)</f>
        <v/>
      </c>
      <c r="AA82" s="65">
        <f>IF(A82="","",IF(AND(F82="männlich",H82="Adult"),"Adultes Männchen",IF(AND(Z82&lt;&gt;"",N(Z82)&gt;=FutterGrenze),"Frisst nicht",IF(U82="","Zu wenig Daten",IF(V82&gt;U82*TpM*FaktorUeber,"Überfällig",IF(V82&gt;U82*TpM*FaktorBald,"Fällig","Im Plan"))))))</f>
        <v/>
      </c>
      <c r="AB82" s="69">
        <f>IF(AND(AC82=1,W82&lt;&gt;""),N(W82)+ROW()/100000,"")</f>
        <v/>
      </c>
      <c r="AC82" s="69">
        <f>IF(A82="","",IF(SUBTOTAL(103,A82)=1,1,0))</f>
        <v/>
      </c>
    </row>
    <row r="83" ht="20" customHeight="1">
      <c r="A83" s="60" t="n"/>
      <c r="B83" s="61" t="n"/>
      <c r="C83" s="61" t="n"/>
      <c r="D83" s="61" t="n"/>
      <c r="E83" s="60" t="n"/>
      <c r="F83" s="60" t="n"/>
      <c r="G83" s="60" t="n"/>
      <c r="H83" s="60" t="n"/>
      <c r="I83" s="62" t="n"/>
      <c r="J83" s="63" t="n"/>
      <c r="K83" s="61" t="n"/>
      <c r="L83" s="64" t="n"/>
      <c r="M83" s="60" t="n"/>
      <c r="N83" s="60" t="n"/>
      <c r="O83" s="60" t="n"/>
      <c r="P83" s="61" t="n"/>
      <c r="Q83" s="61" t="n"/>
      <c r="R83" s="65">
        <f>IF(A83="","",TRIM(C83&amp;" "&amp;D83))</f>
        <v/>
      </c>
      <c r="S83" s="66">
        <f>IF(A83="","",IF(COUNTIFS('Häutungen'!$A$7:$A$1006,A83,'Häutungen'!$C$7:$C$1006,"&gt;0")=0,"",_xlfn.MAXIFS('Häutungen'!$C$7:$C$1006,'Häutungen'!$A$7:$A$1006,A83)))</f>
        <v/>
      </c>
      <c r="T83" s="67">
        <f>IF(A83="","",COUNTIFS('Häutungen'!$A$7:$A$1006,A83,'Häutungen'!$C$7:$C$1006,"&gt;0"))</f>
        <v/>
      </c>
      <c r="U83" s="68">
        <f>IF(A83="","",IF(T83&lt;2,"",IFERROR(AVERAGEIFS('Häutungen'!$J$7:$J$1006,'Häutungen'!$A$7:$A$1006,A83,'Häutungen'!$K$7:$K$1006,"&lt;3",'Häutungen'!$I$7:$I$1006,"&gt;0"),"")))</f>
        <v/>
      </c>
      <c r="V83" s="67">
        <f>IF(S83="","",TODAY()-S83)</f>
        <v/>
      </c>
      <c r="W83" s="66">
        <f>IF(OR(U83="",AND(F83="männlich",H83="Adult")),"",S83+ROUND(U83*TpM,0))</f>
        <v/>
      </c>
      <c r="X83" s="68">
        <f>IF(A83="","",IF(S83="",IF(I83="","",I83),IF(SUMIFS('Häutungen'!$D$7:$D$1006,'Häutungen'!$A$7:$A$1006,A83,'Häutungen'!$C$7:$C$1006,S83)&gt;0,SUMIFS('Häutungen'!$D$7:$D$1006,'Häutungen'!$A$7:$A$1006,A83,'Häutungen'!$C$7:$C$1006,S83),IF(I83="","",I83))))</f>
        <v/>
      </c>
      <c r="Y83" s="66">
        <f>IF(A83="","",IF(COUNTIFS('Fütterung'!$A$7:$A$2006,A83,'Fütterung'!$E$7:$E$2006,"Ja")=0,"",_xlfn.MAXIFS('Fütterung'!$C$7:$C$2006,'Fütterung'!$A$7:$A$2006,A83,'Fütterung'!$E$7:$E$2006,"Ja")))</f>
        <v/>
      </c>
      <c r="Z83" s="67">
        <f>IF(Y83="","",TODAY()-Y83)</f>
        <v/>
      </c>
      <c r="AA83" s="65">
        <f>IF(A83="","",IF(AND(F83="männlich",H83="Adult"),"Adultes Männchen",IF(AND(Z83&lt;&gt;"",N(Z83)&gt;=FutterGrenze),"Frisst nicht",IF(U83="","Zu wenig Daten",IF(V83&gt;U83*TpM*FaktorUeber,"Überfällig",IF(V83&gt;U83*TpM*FaktorBald,"Fällig","Im Plan"))))))</f>
        <v/>
      </c>
      <c r="AB83" s="69">
        <f>IF(AND(AC83=1,W83&lt;&gt;""),N(W83)+ROW()/100000,"")</f>
        <v/>
      </c>
      <c r="AC83" s="69">
        <f>IF(A83="","",IF(SUBTOTAL(103,A83)=1,1,0))</f>
        <v/>
      </c>
    </row>
    <row r="84" ht="20" customHeight="1">
      <c r="A84" s="60" t="n"/>
      <c r="B84" s="61" t="n"/>
      <c r="C84" s="61" t="n"/>
      <c r="D84" s="61" t="n"/>
      <c r="E84" s="60" t="n"/>
      <c r="F84" s="60" t="n"/>
      <c r="G84" s="60" t="n"/>
      <c r="H84" s="60" t="n"/>
      <c r="I84" s="62" t="n"/>
      <c r="J84" s="63" t="n"/>
      <c r="K84" s="61" t="n"/>
      <c r="L84" s="64" t="n"/>
      <c r="M84" s="60" t="n"/>
      <c r="N84" s="60" t="n"/>
      <c r="O84" s="60" t="n"/>
      <c r="P84" s="61" t="n"/>
      <c r="Q84" s="61" t="n"/>
      <c r="R84" s="65">
        <f>IF(A84="","",TRIM(C84&amp;" "&amp;D84))</f>
        <v/>
      </c>
      <c r="S84" s="66">
        <f>IF(A84="","",IF(COUNTIFS('Häutungen'!$A$7:$A$1006,A84,'Häutungen'!$C$7:$C$1006,"&gt;0")=0,"",_xlfn.MAXIFS('Häutungen'!$C$7:$C$1006,'Häutungen'!$A$7:$A$1006,A84)))</f>
        <v/>
      </c>
      <c r="T84" s="67">
        <f>IF(A84="","",COUNTIFS('Häutungen'!$A$7:$A$1006,A84,'Häutungen'!$C$7:$C$1006,"&gt;0"))</f>
        <v/>
      </c>
      <c r="U84" s="68">
        <f>IF(A84="","",IF(T84&lt;2,"",IFERROR(AVERAGEIFS('Häutungen'!$J$7:$J$1006,'Häutungen'!$A$7:$A$1006,A84,'Häutungen'!$K$7:$K$1006,"&lt;3",'Häutungen'!$I$7:$I$1006,"&gt;0"),"")))</f>
        <v/>
      </c>
      <c r="V84" s="67">
        <f>IF(S84="","",TODAY()-S84)</f>
        <v/>
      </c>
      <c r="W84" s="66">
        <f>IF(OR(U84="",AND(F84="männlich",H84="Adult")),"",S84+ROUND(U84*TpM,0))</f>
        <v/>
      </c>
      <c r="X84" s="68">
        <f>IF(A84="","",IF(S84="",IF(I84="","",I84),IF(SUMIFS('Häutungen'!$D$7:$D$1006,'Häutungen'!$A$7:$A$1006,A84,'Häutungen'!$C$7:$C$1006,S84)&gt;0,SUMIFS('Häutungen'!$D$7:$D$1006,'Häutungen'!$A$7:$A$1006,A84,'Häutungen'!$C$7:$C$1006,S84),IF(I84="","",I84))))</f>
        <v/>
      </c>
      <c r="Y84" s="66">
        <f>IF(A84="","",IF(COUNTIFS('Fütterung'!$A$7:$A$2006,A84,'Fütterung'!$E$7:$E$2006,"Ja")=0,"",_xlfn.MAXIFS('Fütterung'!$C$7:$C$2006,'Fütterung'!$A$7:$A$2006,A84,'Fütterung'!$E$7:$E$2006,"Ja")))</f>
        <v/>
      </c>
      <c r="Z84" s="67">
        <f>IF(Y84="","",TODAY()-Y84)</f>
        <v/>
      </c>
      <c r="AA84" s="65">
        <f>IF(A84="","",IF(AND(F84="männlich",H84="Adult"),"Adultes Männchen",IF(AND(Z84&lt;&gt;"",N(Z84)&gt;=FutterGrenze),"Frisst nicht",IF(U84="","Zu wenig Daten",IF(V84&gt;U84*TpM*FaktorUeber,"Überfällig",IF(V84&gt;U84*TpM*FaktorBald,"Fällig","Im Plan"))))))</f>
        <v/>
      </c>
      <c r="AB84" s="69">
        <f>IF(AND(AC84=1,W84&lt;&gt;""),N(W84)+ROW()/100000,"")</f>
        <v/>
      </c>
      <c r="AC84" s="69">
        <f>IF(A84="","",IF(SUBTOTAL(103,A84)=1,1,0))</f>
        <v/>
      </c>
    </row>
    <row r="85" ht="20" customHeight="1">
      <c r="A85" s="60" t="n"/>
      <c r="B85" s="61" t="n"/>
      <c r="C85" s="61" t="n"/>
      <c r="D85" s="61" t="n"/>
      <c r="E85" s="60" t="n"/>
      <c r="F85" s="60" t="n"/>
      <c r="G85" s="60" t="n"/>
      <c r="H85" s="60" t="n"/>
      <c r="I85" s="62" t="n"/>
      <c r="J85" s="63" t="n"/>
      <c r="K85" s="61" t="n"/>
      <c r="L85" s="64" t="n"/>
      <c r="M85" s="60" t="n"/>
      <c r="N85" s="60" t="n"/>
      <c r="O85" s="60" t="n"/>
      <c r="P85" s="61" t="n"/>
      <c r="Q85" s="61" t="n"/>
      <c r="R85" s="65">
        <f>IF(A85="","",TRIM(C85&amp;" "&amp;D85))</f>
        <v/>
      </c>
      <c r="S85" s="66">
        <f>IF(A85="","",IF(COUNTIFS('Häutungen'!$A$7:$A$1006,A85,'Häutungen'!$C$7:$C$1006,"&gt;0")=0,"",_xlfn.MAXIFS('Häutungen'!$C$7:$C$1006,'Häutungen'!$A$7:$A$1006,A85)))</f>
        <v/>
      </c>
      <c r="T85" s="67">
        <f>IF(A85="","",COUNTIFS('Häutungen'!$A$7:$A$1006,A85,'Häutungen'!$C$7:$C$1006,"&gt;0"))</f>
        <v/>
      </c>
      <c r="U85" s="68">
        <f>IF(A85="","",IF(T85&lt;2,"",IFERROR(AVERAGEIFS('Häutungen'!$J$7:$J$1006,'Häutungen'!$A$7:$A$1006,A85,'Häutungen'!$K$7:$K$1006,"&lt;3",'Häutungen'!$I$7:$I$1006,"&gt;0"),"")))</f>
        <v/>
      </c>
      <c r="V85" s="67">
        <f>IF(S85="","",TODAY()-S85)</f>
        <v/>
      </c>
      <c r="W85" s="66">
        <f>IF(OR(U85="",AND(F85="männlich",H85="Adult")),"",S85+ROUND(U85*TpM,0))</f>
        <v/>
      </c>
      <c r="X85" s="68">
        <f>IF(A85="","",IF(S85="",IF(I85="","",I85),IF(SUMIFS('Häutungen'!$D$7:$D$1006,'Häutungen'!$A$7:$A$1006,A85,'Häutungen'!$C$7:$C$1006,S85)&gt;0,SUMIFS('Häutungen'!$D$7:$D$1006,'Häutungen'!$A$7:$A$1006,A85,'Häutungen'!$C$7:$C$1006,S85),IF(I85="","",I85))))</f>
        <v/>
      </c>
      <c r="Y85" s="66">
        <f>IF(A85="","",IF(COUNTIFS('Fütterung'!$A$7:$A$2006,A85,'Fütterung'!$E$7:$E$2006,"Ja")=0,"",_xlfn.MAXIFS('Fütterung'!$C$7:$C$2006,'Fütterung'!$A$7:$A$2006,A85,'Fütterung'!$E$7:$E$2006,"Ja")))</f>
        <v/>
      </c>
      <c r="Z85" s="67">
        <f>IF(Y85="","",TODAY()-Y85)</f>
        <v/>
      </c>
      <c r="AA85" s="65">
        <f>IF(A85="","",IF(AND(F85="männlich",H85="Adult"),"Adultes Männchen",IF(AND(Z85&lt;&gt;"",N(Z85)&gt;=FutterGrenze),"Frisst nicht",IF(U85="","Zu wenig Daten",IF(V85&gt;U85*TpM*FaktorUeber,"Überfällig",IF(V85&gt;U85*TpM*FaktorBald,"Fällig","Im Plan"))))))</f>
        <v/>
      </c>
      <c r="AB85" s="69">
        <f>IF(AND(AC85=1,W85&lt;&gt;""),N(W85)+ROW()/100000,"")</f>
        <v/>
      </c>
      <c r="AC85" s="69">
        <f>IF(A85="","",IF(SUBTOTAL(103,A85)=1,1,0))</f>
        <v/>
      </c>
    </row>
    <row r="86" ht="20" customHeight="1">
      <c r="A86" s="60" t="n"/>
      <c r="B86" s="61" t="n"/>
      <c r="C86" s="61" t="n"/>
      <c r="D86" s="61" t="n"/>
      <c r="E86" s="60" t="n"/>
      <c r="F86" s="60" t="n"/>
      <c r="G86" s="60" t="n"/>
      <c r="H86" s="60" t="n"/>
      <c r="I86" s="62" t="n"/>
      <c r="J86" s="63" t="n"/>
      <c r="K86" s="61" t="n"/>
      <c r="L86" s="64" t="n"/>
      <c r="M86" s="60" t="n"/>
      <c r="N86" s="60" t="n"/>
      <c r="O86" s="60" t="n"/>
      <c r="P86" s="61" t="n"/>
      <c r="Q86" s="61" t="n"/>
      <c r="R86" s="65">
        <f>IF(A86="","",TRIM(C86&amp;" "&amp;D86))</f>
        <v/>
      </c>
      <c r="S86" s="66">
        <f>IF(A86="","",IF(COUNTIFS('Häutungen'!$A$7:$A$1006,A86,'Häutungen'!$C$7:$C$1006,"&gt;0")=0,"",_xlfn.MAXIFS('Häutungen'!$C$7:$C$1006,'Häutungen'!$A$7:$A$1006,A86)))</f>
        <v/>
      </c>
      <c r="T86" s="67">
        <f>IF(A86="","",COUNTIFS('Häutungen'!$A$7:$A$1006,A86,'Häutungen'!$C$7:$C$1006,"&gt;0"))</f>
        <v/>
      </c>
      <c r="U86" s="68">
        <f>IF(A86="","",IF(T86&lt;2,"",IFERROR(AVERAGEIFS('Häutungen'!$J$7:$J$1006,'Häutungen'!$A$7:$A$1006,A86,'Häutungen'!$K$7:$K$1006,"&lt;3",'Häutungen'!$I$7:$I$1006,"&gt;0"),"")))</f>
        <v/>
      </c>
      <c r="V86" s="67">
        <f>IF(S86="","",TODAY()-S86)</f>
        <v/>
      </c>
      <c r="W86" s="66">
        <f>IF(OR(U86="",AND(F86="männlich",H86="Adult")),"",S86+ROUND(U86*TpM,0))</f>
        <v/>
      </c>
      <c r="X86" s="68">
        <f>IF(A86="","",IF(S86="",IF(I86="","",I86),IF(SUMIFS('Häutungen'!$D$7:$D$1006,'Häutungen'!$A$7:$A$1006,A86,'Häutungen'!$C$7:$C$1006,S86)&gt;0,SUMIFS('Häutungen'!$D$7:$D$1006,'Häutungen'!$A$7:$A$1006,A86,'Häutungen'!$C$7:$C$1006,S86),IF(I86="","",I86))))</f>
        <v/>
      </c>
      <c r="Y86" s="66">
        <f>IF(A86="","",IF(COUNTIFS('Fütterung'!$A$7:$A$2006,A86,'Fütterung'!$E$7:$E$2006,"Ja")=0,"",_xlfn.MAXIFS('Fütterung'!$C$7:$C$2006,'Fütterung'!$A$7:$A$2006,A86,'Fütterung'!$E$7:$E$2006,"Ja")))</f>
        <v/>
      </c>
      <c r="Z86" s="67">
        <f>IF(Y86="","",TODAY()-Y86)</f>
        <v/>
      </c>
      <c r="AA86" s="65">
        <f>IF(A86="","",IF(AND(F86="männlich",H86="Adult"),"Adultes Männchen",IF(AND(Z86&lt;&gt;"",N(Z86)&gt;=FutterGrenze),"Frisst nicht",IF(U86="","Zu wenig Daten",IF(V86&gt;U86*TpM*FaktorUeber,"Überfällig",IF(V86&gt;U86*TpM*FaktorBald,"Fällig","Im Plan"))))))</f>
        <v/>
      </c>
      <c r="AB86" s="69">
        <f>IF(AND(AC86=1,W86&lt;&gt;""),N(W86)+ROW()/100000,"")</f>
        <v/>
      </c>
      <c r="AC86" s="69">
        <f>IF(A86="","",IF(SUBTOTAL(103,A86)=1,1,0))</f>
        <v/>
      </c>
    </row>
    <row r="87" ht="20" customHeight="1">
      <c r="A87" s="60" t="n"/>
      <c r="B87" s="61" t="n"/>
      <c r="C87" s="61" t="n"/>
      <c r="D87" s="61" t="n"/>
      <c r="E87" s="60" t="n"/>
      <c r="F87" s="60" t="n"/>
      <c r="G87" s="60" t="n"/>
      <c r="H87" s="60" t="n"/>
      <c r="I87" s="62" t="n"/>
      <c r="J87" s="63" t="n"/>
      <c r="K87" s="61" t="n"/>
      <c r="L87" s="64" t="n"/>
      <c r="M87" s="60" t="n"/>
      <c r="N87" s="60" t="n"/>
      <c r="O87" s="60" t="n"/>
      <c r="P87" s="61" t="n"/>
      <c r="Q87" s="61" t="n"/>
      <c r="R87" s="65">
        <f>IF(A87="","",TRIM(C87&amp;" "&amp;D87))</f>
        <v/>
      </c>
      <c r="S87" s="66">
        <f>IF(A87="","",IF(COUNTIFS('Häutungen'!$A$7:$A$1006,A87,'Häutungen'!$C$7:$C$1006,"&gt;0")=0,"",_xlfn.MAXIFS('Häutungen'!$C$7:$C$1006,'Häutungen'!$A$7:$A$1006,A87)))</f>
        <v/>
      </c>
      <c r="T87" s="67">
        <f>IF(A87="","",COUNTIFS('Häutungen'!$A$7:$A$1006,A87,'Häutungen'!$C$7:$C$1006,"&gt;0"))</f>
        <v/>
      </c>
      <c r="U87" s="68">
        <f>IF(A87="","",IF(T87&lt;2,"",IFERROR(AVERAGEIFS('Häutungen'!$J$7:$J$1006,'Häutungen'!$A$7:$A$1006,A87,'Häutungen'!$K$7:$K$1006,"&lt;3",'Häutungen'!$I$7:$I$1006,"&gt;0"),"")))</f>
        <v/>
      </c>
      <c r="V87" s="67">
        <f>IF(S87="","",TODAY()-S87)</f>
        <v/>
      </c>
      <c r="W87" s="66">
        <f>IF(OR(U87="",AND(F87="männlich",H87="Adult")),"",S87+ROUND(U87*TpM,0))</f>
        <v/>
      </c>
      <c r="X87" s="68">
        <f>IF(A87="","",IF(S87="",IF(I87="","",I87),IF(SUMIFS('Häutungen'!$D$7:$D$1006,'Häutungen'!$A$7:$A$1006,A87,'Häutungen'!$C$7:$C$1006,S87)&gt;0,SUMIFS('Häutungen'!$D$7:$D$1006,'Häutungen'!$A$7:$A$1006,A87,'Häutungen'!$C$7:$C$1006,S87),IF(I87="","",I87))))</f>
        <v/>
      </c>
      <c r="Y87" s="66">
        <f>IF(A87="","",IF(COUNTIFS('Fütterung'!$A$7:$A$2006,A87,'Fütterung'!$E$7:$E$2006,"Ja")=0,"",_xlfn.MAXIFS('Fütterung'!$C$7:$C$2006,'Fütterung'!$A$7:$A$2006,A87,'Fütterung'!$E$7:$E$2006,"Ja")))</f>
        <v/>
      </c>
      <c r="Z87" s="67">
        <f>IF(Y87="","",TODAY()-Y87)</f>
        <v/>
      </c>
      <c r="AA87" s="65">
        <f>IF(A87="","",IF(AND(F87="männlich",H87="Adult"),"Adultes Männchen",IF(AND(Z87&lt;&gt;"",N(Z87)&gt;=FutterGrenze),"Frisst nicht",IF(U87="","Zu wenig Daten",IF(V87&gt;U87*TpM*FaktorUeber,"Überfällig",IF(V87&gt;U87*TpM*FaktorBald,"Fällig","Im Plan"))))))</f>
        <v/>
      </c>
      <c r="AB87" s="69">
        <f>IF(AND(AC87=1,W87&lt;&gt;""),N(W87)+ROW()/100000,"")</f>
        <v/>
      </c>
      <c r="AC87" s="69">
        <f>IF(A87="","",IF(SUBTOTAL(103,A87)=1,1,0))</f>
        <v/>
      </c>
    </row>
    <row r="88" ht="20" customHeight="1">
      <c r="A88" s="60" t="n"/>
      <c r="B88" s="61" t="n"/>
      <c r="C88" s="61" t="n"/>
      <c r="D88" s="61" t="n"/>
      <c r="E88" s="60" t="n"/>
      <c r="F88" s="60" t="n"/>
      <c r="G88" s="60" t="n"/>
      <c r="H88" s="60" t="n"/>
      <c r="I88" s="62" t="n"/>
      <c r="J88" s="63" t="n"/>
      <c r="K88" s="61" t="n"/>
      <c r="L88" s="64" t="n"/>
      <c r="M88" s="60" t="n"/>
      <c r="N88" s="60" t="n"/>
      <c r="O88" s="60" t="n"/>
      <c r="P88" s="61" t="n"/>
      <c r="Q88" s="61" t="n"/>
      <c r="R88" s="65">
        <f>IF(A88="","",TRIM(C88&amp;" "&amp;D88))</f>
        <v/>
      </c>
      <c r="S88" s="66">
        <f>IF(A88="","",IF(COUNTIFS('Häutungen'!$A$7:$A$1006,A88,'Häutungen'!$C$7:$C$1006,"&gt;0")=0,"",_xlfn.MAXIFS('Häutungen'!$C$7:$C$1006,'Häutungen'!$A$7:$A$1006,A88)))</f>
        <v/>
      </c>
      <c r="T88" s="67">
        <f>IF(A88="","",COUNTIFS('Häutungen'!$A$7:$A$1006,A88,'Häutungen'!$C$7:$C$1006,"&gt;0"))</f>
        <v/>
      </c>
      <c r="U88" s="68">
        <f>IF(A88="","",IF(T88&lt;2,"",IFERROR(AVERAGEIFS('Häutungen'!$J$7:$J$1006,'Häutungen'!$A$7:$A$1006,A88,'Häutungen'!$K$7:$K$1006,"&lt;3",'Häutungen'!$I$7:$I$1006,"&gt;0"),"")))</f>
        <v/>
      </c>
      <c r="V88" s="67">
        <f>IF(S88="","",TODAY()-S88)</f>
        <v/>
      </c>
      <c r="W88" s="66">
        <f>IF(OR(U88="",AND(F88="männlich",H88="Adult")),"",S88+ROUND(U88*TpM,0))</f>
        <v/>
      </c>
      <c r="X88" s="68">
        <f>IF(A88="","",IF(S88="",IF(I88="","",I88),IF(SUMIFS('Häutungen'!$D$7:$D$1006,'Häutungen'!$A$7:$A$1006,A88,'Häutungen'!$C$7:$C$1006,S88)&gt;0,SUMIFS('Häutungen'!$D$7:$D$1006,'Häutungen'!$A$7:$A$1006,A88,'Häutungen'!$C$7:$C$1006,S88),IF(I88="","",I88))))</f>
        <v/>
      </c>
      <c r="Y88" s="66">
        <f>IF(A88="","",IF(COUNTIFS('Fütterung'!$A$7:$A$2006,A88,'Fütterung'!$E$7:$E$2006,"Ja")=0,"",_xlfn.MAXIFS('Fütterung'!$C$7:$C$2006,'Fütterung'!$A$7:$A$2006,A88,'Fütterung'!$E$7:$E$2006,"Ja")))</f>
        <v/>
      </c>
      <c r="Z88" s="67">
        <f>IF(Y88="","",TODAY()-Y88)</f>
        <v/>
      </c>
      <c r="AA88" s="65">
        <f>IF(A88="","",IF(AND(F88="männlich",H88="Adult"),"Adultes Männchen",IF(AND(Z88&lt;&gt;"",N(Z88)&gt;=FutterGrenze),"Frisst nicht",IF(U88="","Zu wenig Daten",IF(V88&gt;U88*TpM*FaktorUeber,"Überfällig",IF(V88&gt;U88*TpM*FaktorBald,"Fällig","Im Plan"))))))</f>
        <v/>
      </c>
      <c r="AB88" s="69">
        <f>IF(AND(AC88=1,W88&lt;&gt;""),N(W88)+ROW()/100000,"")</f>
        <v/>
      </c>
      <c r="AC88" s="69">
        <f>IF(A88="","",IF(SUBTOTAL(103,A88)=1,1,0))</f>
        <v/>
      </c>
    </row>
    <row r="89" ht="20" customHeight="1">
      <c r="A89" s="60" t="n"/>
      <c r="B89" s="61" t="n"/>
      <c r="C89" s="61" t="n"/>
      <c r="D89" s="61" t="n"/>
      <c r="E89" s="60" t="n"/>
      <c r="F89" s="60" t="n"/>
      <c r="G89" s="60" t="n"/>
      <c r="H89" s="60" t="n"/>
      <c r="I89" s="62" t="n"/>
      <c r="J89" s="63" t="n"/>
      <c r="K89" s="61" t="n"/>
      <c r="L89" s="64" t="n"/>
      <c r="M89" s="60" t="n"/>
      <c r="N89" s="60" t="n"/>
      <c r="O89" s="60" t="n"/>
      <c r="P89" s="61" t="n"/>
      <c r="Q89" s="61" t="n"/>
      <c r="R89" s="65">
        <f>IF(A89="","",TRIM(C89&amp;" "&amp;D89))</f>
        <v/>
      </c>
      <c r="S89" s="66">
        <f>IF(A89="","",IF(COUNTIFS('Häutungen'!$A$7:$A$1006,A89,'Häutungen'!$C$7:$C$1006,"&gt;0")=0,"",_xlfn.MAXIFS('Häutungen'!$C$7:$C$1006,'Häutungen'!$A$7:$A$1006,A89)))</f>
        <v/>
      </c>
      <c r="T89" s="67">
        <f>IF(A89="","",COUNTIFS('Häutungen'!$A$7:$A$1006,A89,'Häutungen'!$C$7:$C$1006,"&gt;0"))</f>
        <v/>
      </c>
      <c r="U89" s="68">
        <f>IF(A89="","",IF(T89&lt;2,"",IFERROR(AVERAGEIFS('Häutungen'!$J$7:$J$1006,'Häutungen'!$A$7:$A$1006,A89,'Häutungen'!$K$7:$K$1006,"&lt;3",'Häutungen'!$I$7:$I$1006,"&gt;0"),"")))</f>
        <v/>
      </c>
      <c r="V89" s="67">
        <f>IF(S89="","",TODAY()-S89)</f>
        <v/>
      </c>
      <c r="W89" s="66">
        <f>IF(OR(U89="",AND(F89="männlich",H89="Adult")),"",S89+ROUND(U89*TpM,0))</f>
        <v/>
      </c>
      <c r="X89" s="68">
        <f>IF(A89="","",IF(S89="",IF(I89="","",I89),IF(SUMIFS('Häutungen'!$D$7:$D$1006,'Häutungen'!$A$7:$A$1006,A89,'Häutungen'!$C$7:$C$1006,S89)&gt;0,SUMIFS('Häutungen'!$D$7:$D$1006,'Häutungen'!$A$7:$A$1006,A89,'Häutungen'!$C$7:$C$1006,S89),IF(I89="","",I89))))</f>
        <v/>
      </c>
      <c r="Y89" s="66">
        <f>IF(A89="","",IF(COUNTIFS('Fütterung'!$A$7:$A$2006,A89,'Fütterung'!$E$7:$E$2006,"Ja")=0,"",_xlfn.MAXIFS('Fütterung'!$C$7:$C$2006,'Fütterung'!$A$7:$A$2006,A89,'Fütterung'!$E$7:$E$2006,"Ja")))</f>
        <v/>
      </c>
      <c r="Z89" s="67">
        <f>IF(Y89="","",TODAY()-Y89)</f>
        <v/>
      </c>
      <c r="AA89" s="65">
        <f>IF(A89="","",IF(AND(F89="männlich",H89="Adult"),"Adultes Männchen",IF(AND(Z89&lt;&gt;"",N(Z89)&gt;=FutterGrenze),"Frisst nicht",IF(U89="","Zu wenig Daten",IF(V89&gt;U89*TpM*FaktorUeber,"Überfällig",IF(V89&gt;U89*TpM*FaktorBald,"Fällig","Im Plan"))))))</f>
        <v/>
      </c>
      <c r="AB89" s="69">
        <f>IF(AND(AC89=1,W89&lt;&gt;""),N(W89)+ROW()/100000,"")</f>
        <v/>
      </c>
      <c r="AC89" s="69">
        <f>IF(A89="","",IF(SUBTOTAL(103,A89)=1,1,0))</f>
        <v/>
      </c>
    </row>
    <row r="90" ht="20" customHeight="1">
      <c r="A90" s="60" t="n"/>
      <c r="B90" s="61" t="n"/>
      <c r="C90" s="61" t="n"/>
      <c r="D90" s="61" t="n"/>
      <c r="E90" s="60" t="n"/>
      <c r="F90" s="60" t="n"/>
      <c r="G90" s="60" t="n"/>
      <c r="H90" s="60" t="n"/>
      <c r="I90" s="62" t="n"/>
      <c r="J90" s="63" t="n"/>
      <c r="K90" s="61" t="n"/>
      <c r="L90" s="64" t="n"/>
      <c r="M90" s="60" t="n"/>
      <c r="N90" s="60" t="n"/>
      <c r="O90" s="60" t="n"/>
      <c r="P90" s="61" t="n"/>
      <c r="Q90" s="61" t="n"/>
      <c r="R90" s="65">
        <f>IF(A90="","",TRIM(C90&amp;" "&amp;D90))</f>
        <v/>
      </c>
      <c r="S90" s="66">
        <f>IF(A90="","",IF(COUNTIFS('Häutungen'!$A$7:$A$1006,A90,'Häutungen'!$C$7:$C$1006,"&gt;0")=0,"",_xlfn.MAXIFS('Häutungen'!$C$7:$C$1006,'Häutungen'!$A$7:$A$1006,A90)))</f>
        <v/>
      </c>
      <c r="T90" s="67">
        <f>IF(A90="","",COUNTIFS('Häutungen'!$A$7:$A$1006,A90,'Häutungen'!$C$7:$C$1006,"&gt;0"))</f>
        <v/>
      </c>
      <c r="U90" s="68">
        <f>IF(A90="","",IF(T90&lt;2,"",IFERROR(AVERAGEIFS('Häutungen'!$J$7:$J$1006,'Häutungen'!$A$7:$A$1006,A90,'Häutungen'!$K$7:$K$1006,"&lt;3",'Häutungen'!$I$7:$I$1006,"&gt;0"),"")))</f>
        <v/>
      </c>
      <c r="V90" s="67">
        <f>IF(S90="","",TODAY()-S90)</f>
        <v/>
      </c>
      <c r="W90" s="66">
        <f>IF(OR(U90="",AND(F90="männlich",H90="Adult")),"",S90+ROUND(U90*TpM,0))</f>
        <v/>
      </c>
      <c r="X90" s="68">
        <f>IF(A90="","",IF(S90="",IF(I90="","",I90),IF(SUMIFS('Häutungen'!$D$7:$D$1006,'Häutungen'!$A$7:$A$1006,A90,'Häutungen'!$C$7:$C$1006,S90)&gt;0,SUMIFS('Häutungen'!$D$7:$D$1006,'Häutungen'!$A$7:$A$1006,A90,'Häutungen'!$C$7:$C$1006,S90),IF(I90="","",I90))))</f>
        <v/>
      </c>
      <c r="Y90" s="66">
        <f>IF(A90="","",IF(COUNTIFS('Fütterung'!$A$7:$A$2006,A90,'Fütterung'!$E$7:$E$2006,"Ja")=0,"",_xlfn.MAXIFS('Fütterung'!$C$7:$C$2006,'Fütterung'!$A$7:$A$2006,A90,'Fütterung'!$E$7:$E$2006,"Ja")))</f>
        <v/>
      </c>
      <c r="Z90" s="67">
        <f>IF(Y90="","",TODAY()-Y90)</f>
        <v/>
      </c>
      <c r="AA90" s="65">
        <f>IF(A90="","",IF(AND(F90="männlich",H90="Adult"),"Adultes Männchen",IF(AND(Z90&lt;&gt;"",N(Z90)&gt;=FutterGrenze),"Frisst nicht",IF(U90="","Zu wenig Daten",IF(V90&gt;U90*TpM*FaktorUeber,"Überfällig",IF(V90&gt;U90*TpM*FaktorBald,"Fällig","Im Plan"))))))</f>
        <v/>
      </c>
      <c r="AB90" s="69">
        <f>IF(AND(AC90=1,W90&lt;&gt;""),N(W90)+ROW()/100000,"")</f>
        <v/>
      </c>
      <c r="AC90" s="69">
        <f>IF(A90="","",IF(SUBTOTAL(103,A90)=1,1,0))</f>
        <v/>
      </c>
    </row>
    <row r="91" ht="20" customHeight="1">
      <c r="A91" s="60" t="n"/>
      <c r="B91" s="61" t="n"/>
      <c r="C91" s="61" t="n"/>
      <c r="D91" s="61" t="n"/>
      <c r="E91" s="60" t="n"/>
      <c r="F91" s="60" t="n"/>
      <c r="G91" s="60" t="n"/>
      <c r="H91" s="60" t="n"/>
      <c r="I91" s="62" t="n"/>
      <c r="J91" s="63" t="n"/>
      <c r="K91" s="61" t="n"/>
      <c r="L91" s="64" t="n"/>
      <c r="M91" s="60" t="n"/>
      <c r="N91" s="60" t="n"/>
      <c r="O91" s="60" t="n"/>
      <c r="P91" s="61" t="n"/>
      <c r="Q91" s="61" t="n"/>
      <c r="R91" s="65">
        <f>IF(A91="","",TRIM(C91&amp;" "&amp;D91))</f>
        <v/>
      </c>
      <c r="S91" s="66">
        <f>IF(A91="","",IF(COUNTIFS('Häutungen'!$A$7:$A$1006,A91,'Häutungen'!$C$7:$C$1006,"&gt;0")=0,"",_xlfn.MAXIFS('Häutungen'!$C$7:$C$1006,'Häutungen'!$A$7:$A$1006,A91)))</f>
        <v/>
      </c>
      <c r="T91" s="67">
        <f>IF(A91="","",COUNTIFS('Häutungen'!$A$7:$A$1006,A91,'Häutungen'!$C$7:$C$1006,"&gt;0"))</f>
        <v/>
      </c>
      <c r="U91" s="68">
        <f>IF(A91="","",IF(T91&lt;2,"",IFERROR(AVERAGEIFS('Häutungen'!$J$7:$J$1006,'Häutungen'!$A$7:$A$1006,A91,'Häutungen'!$K$7:$K$1006,"&lt;3",'Häutungen'!$I$7:$I$1006,"&gt;0"),"")))</f>
        <v/>
      </c>
      <c r="V91" s="67">
        <f>IF(S91="","",TODAY()-S91)</f>
        <v/>
      </c>
      <c r="W91" s="66">
        <f>IF(OR(U91="",AND(F91="männlich",H91="Adult")),"",S91+ROUND(U91*TpM,0))</f>
        <v/>
      </c>
      <c r="X91" s="68">
        <f>IF(A91="","",IF(S91="",IF(I91="","",I91),IF(SUMIFS('Häutungen'!$D$7:$D$1006,'Häutungen'!$A$7:$A$1006,A91,'Häutungen'!$C$7:$C$1006,S91)&gt;0,SUMIFS('Häutungen'!$D$7:$D$1006,'Häutungen'!$A$7:$A$1006,A91,'Häutungen'!$C$7:$C$1006,S91),IF(I91="","",I91))))</f>
        <v/>
      </c>
      <c r="Y91" s="66">
        <f>IF(A91="","",IF(COUNTIFS('Fütterung'!$A$7:$A$2006,A91,'Fütterung'!$E$7:$E$2006,"Ja")=0,"",_xlfn.MAXIFS('Fütterung'!$C$7:$C$2006,'Fütterung'!$A$7:$A$2006,A91,'Fütterung'!$E$7:$E$2006,"Ja")))</f>
        <v/>
      </c>
      <c r="Z91" s="67">
        <f>IF(Y91="","",TODAY()-Y91)</f>
        <v/>
      </c>
      <c r="AA91" s="65">
        <f>IF(A91="","",IF(AND(F91="männlich",H91="Adult"),"Adultes Männchen",IF(AND(Z91&lt;&gt;"",N(Z91)&gt;=FutterGrenze),"Frisst nicht",IF(U91="","Zu wenig Daten",IF(V91&gt;U91*TpM*FaktorUeber,"Überfällig",IF(V91&gt;U91*TpM*FaktorBald,"Fällig","Im Plan"))))))</f>
        <v/>
      </c>
      <c r="AB91" s="69">
        <f>IF(AND(AC91=1,W91&lt;&gt;""),N(W91)+ROW()/100000,"")</f>
        <v/>
      </c>
      <c r="AC91" s="69">
        <f>IF(A91="","",IF(SUBTOTAL(103,A91)=1,1,0))</f>
        <v/>
      </c>
    </row>
    <row r="92" ht="20" customHeight="1">
      <c r="A92" s="60" t="n"/>
      <c r="B92" s="61" t="n"/>
      <c r="C92" s="61" t="n"/>
      <c r="D92" s="61" t="n"/>
      <c r="E92" s="60" t="n"/>
      <c r="F92" s="60" t="n"/>
      <c r="G92" s="60" t="n"/>
      <c r="H92" s="60" t="n"/>
      <c r="I92" s="62" t="n"/>
      <c r="J92" s="63" t="n"/>
      <c r="K92" s="61" t="n"/>
      <c r="L92" s="64" t="n"/>
      <c r="M92" s="60" t="n"/>
      <c r="N92" s="60" t="n"/>
      <c r="O92" s="60" t="n"/>
      <c r="P92" s="61" t="n"/>
      <c r="Q92" s="61" t="n"/>
      <c r="R92" s="65">
        <f>IF(A92="","",TRIM(C92&amp;" "&amp;D92))</f>
        <v/>
      </c>
      <c r="S92" s="66">
        <f>IF(A92="","",IF(COUNTIFS('Häutungen'!$A$7:$A$1006,A92,'Häutungen'!$C$7:$C$1006,"&gt;0")=0,"",_xlfn.MAXIFS('Häutungen'!$C$7:$C$1006,'Häutungen'!$A$7:$A$1006,A92)))</f>
        <v/>
      </c>
      <c r="T92" s="67">
        <f>IF(A92="","",COUNTIFS('Häutungen'!$A$7:$A$1006,A92,'Häutungen'!$C$7:$C$1006,"&gt;0"))</f>
        <v/>
      </c>
      <c r="U92" s="68">
        <f>IF(A92="","",IF(T92&lt;2,"",IFERROR(AVERAGEIFS('Häutungen'!$J$7:$J$1006,'Häutungen'!$A$7:$A$1006,A92,'Häutungen'!$K$7:$K$1006,"&lt;3",'Häutungen'!$I$7:$I$1006,"&gt;0"),"")))</f>
        <v/>
      </c>
      <c r="V92" s="67">
        <f>IF(S92="","",TODAY()-S92)</f>
        <v/>
      </c>
      <c r="W92" s="66">
        <f>IF(OR(U92="",AND(F92="männlich",H92="Adult")),"",S92+ROUND(U92*TpM,0))</f>
        <v/>
      </c>
      <c r="X92" s="68">
        <f>IF(A92="","",IF(S92="",IF(I92="","",I92),IF(SUMIFS('Häutungen'!$D$7:$D$1006,'Häutungen'!$A$7:$A$1006,A92,'Häutungen'!$C$7:$C$1006,S92)&gt;0,SUMIFS('Häutungen'!$D$7:$D$1006,'Häutungen'!$A$7:$A$1006,A92,'Häutungen'!$C$7:$C$1006,S92),IF(I92="","",I92))))</f>
        <v/>
      </c>
      <c r="Y92" s="66">
        <f>IF(A92="","",IF(COUNTIFS('Fütterung'!$A$7:$A$2006,A92,'Fütterung'!$E$7:$E$2006,"Ja")=0,"",_xlfn.MAXIFS('Fütterung'!$C$7:$C$2006,'Fütterung'!$A$7:$A$2006,A92,'Fütterung'!$E$7:$E$2006,"Ja")))</f>
        <v/>
      </c>
      <c r="Z92" s="67">
        <f>IF(Y92="","",TODAY()-Y92)</f>
        <v/>
      </c>
      <c r="AA92" s="65">
        <f>IF(A92="","",IF(AND(F92="männlich",H92="Adult"),"Adultes Männchen",IF(AND(Z92&lt;&gt;"",N(Z92)&gt;=FutterGrenze),"Frisst nicht",IF(U92="","Zu wenig Daten",IF(V92&gt;U92*TpM*FaktorUeber,"Überfällig",IF(V92&gt;U92*TpM*FaktorBald,"Fällig","Im Plan"))))))</f>
        <v/>
      </c>
      <c r="AB92" s="69">
        <f>IF(AND(AC92=1,W92&lt;&gt;""),N(W92)+ROW()/100000,"")</f>
        <v/>
      </c>
      <c r="AC92" s="69">
        <f>IF(A92="","",IF(SUBTOTAL(103,A92)=1,1,0))</f>
        <v/>
      </c>
    </row>
    <row r="93" ht="20" customHeight="1">
      <c r="A93" s="60" t="n"/>
      <c r="B93" s="61" t="n"/>
      <c r="C93" s="61" t="n"/>
      <c r="D93" s="61" t="n"/>
      <c r="E93" s="60" t="n"/>
      <c r="F93" s="60" t="n"/>
      <c r="G93" s="60" t="n"/>
      <c r="H93" s="60" t="n"/>
      <c r="I93" s="62" t="n"/>
      <c r="J93" s="63" t="n"/>
      <c r="K93" s="61" t="n"/>
      <c r="L93" s="64" t="n"/>
      <c r="M93" s="60" t="n"/>
      <c r="N93" s="60" t="n"/>
      <c r="O93" s="60" t="n"/>
      <c r="P93" s="61" t="n"/>
      <c r="Q93" s="61" t="n"/>
      <c r="R93" s="65">
        <f>IF(A93="","",TRIM(C93&amp;" "&amp;D93))</f>
        <v/>
      </c>
      <c r="S93" s="66">
        <f>IF(A93="","",IF(COUNTIFS('Häutungen'!$A$7:$A$1006,A93,'Häutungen'!$C$7:$C$1006,"&gt;0")=0,"",_xlfn.MAXIFS('Häutungen'!$C$7:$C$1006,'Häutungen'!$A$7:$A$1006,A93)))</f>
        <v/>
      </c>
      <c r="T93" s="67">
        <f>IF(A93="","",COUNTIFS('Häutungen'!$A$7:$A$1006,A93,'Häutungen'!$C$7:$C$1006,"&gt;0"))</f>
        <v/>
      </c>
      <c r="U93" s="68">
        <f>IF(A93="","",IF(T93&lt;2,"",IFERROR(AVERAGEIFS('Häutungen'!$J$7:$J$1006,'Häutungen'!$A$7:$A$1006,A93,'Häutungen'!$K$7:$K$1006,"&lt;3",'Häutungen'!$I$7:$I$1006,"&gt;0"),"")))</f>
        <v/>
      </c>
      <c r="V93" s="67">
        <f>IF(S93="","",TODAY()-S93)</f>
        <v/>
      </c>
      <c r="W93" s="66">
        <f>IF(OR(U93="",AND(F93="männlich",H93="Adult")),"",S93+ROUND(U93*TpM,0))</f>
        <v/>
      </c>
      <c r="X93" s="68">
        <f>IF(A93="","",IF(S93="",IF(I93="","",I93),IF(SUMIFS('Häutungen'!$D$7:$D$1006,'Häutungen'!$A$7:$A$1006,A93,'Häutungen'!$C$7:$C$1006,S93)&gt;0,SUMIFS('Häutungen'!$D$7:$D$1006,'Häutungen'!$A$7:$A$1006,A93,'Häutungen'!$C$7:$C$1006,S93),IF(I93="","",I93))))</f>
        <v/>
      </c>
      <c r="Y93" s="66">
        <f>IF(A93="","",IF(COUNTIFS('Fütterung'!$A$7:$A$2006,A93,'Fütterung'!$E$7:$E$2006,"Ja")=0,"",_xlfn.MAXIFS('Fütterung'!$C$7:$C$2006,'Fütterung'!$A$7:$A$2006,A93,'Fütterung'!$E$7:$E$2006,"Ja")))</f>
        <v/>
      </c>
      <c r="Z93" s="67">
        <f>IF(Y93="","",TODAY()-Y93)</f>
        <v/>
      </c>
      <c r="AA93" s="65">
        <f>IF(A93="","",IF(AND(F93="männlich",H93="Adult"),"Adultes Männchen",IF(AND(Z93&lt;&gt;"",N(Z93)&gt;=FutterGrenze),"Frisst nicht",IF(U93="","Zu wenig Daten",IF(V93&gt;U93*TpM*FaktorUeber,"Überfällig",IF(V93&gt;U93*TpM*FaktorBald,"Fällig","Im Plan"))))))</f>
        <v/>
      </c>
      <c r="AB93" s="69">
        <f>IF(AND(AC93=1,W93&lt;&gt;""),N(W93)+ROW()/100000,"")</f>
        <v/>
      </c>
      <c r="AC93" s="69">
        <f>IF(A93="","",IF(SUBTOTAL(103,A93)=1,1,0))</f>
        <v/>
      </c>
    </row>
    <row r="94" ht="20" customHeight="1">
      <c r="A94" s="60" t="n"/>
      <c r="B94" s="61" t="n"/>
      <c r="C94" s="61" t="n"/>
      <c r="D94" s="61" t="n"/>
      <c r="E94" s="60" t="n"/>
      <c r="F94" s="60" t="n"/>
      <c r="G94" s="60" t="n"/>
      <c r="H94" s="60" t="n"/>
      <c r="I94" s="62" t="n"/>
      <c r="J94" s="63" t="n"/>
      <c r="K94" s="61" t="n"/>
      <c r="L94" s="64" t="n"/>
      <c r="M94" s="60" t="n"/>
      <c r="N94" s="60" t="n"/>
      <c r="O94" s="60" t="n"/>
      <c r="P94" s="61" t="n"/>
      <c r="Q94" s="61" t="n"/>
      <c r="R94" s="65">
        <f>IF(A94="","",TRIM(C94&amp;" "&amp;D94))</f>
        <v/>
      </c>
      <c r="S94" s="66">
        <f>IF(A94="","",IF(COUNTIFS('Häutungen'!$A$7:$A$1006,A94,'Häutungen'!$C$7:$C$1006,"&gt;0")=0,"",_xlfn.MAXIFS('Häutungen'!$C$7:$C$1006,'Häutungen'!$A$7:$A$1006,A94)))</f>
        <v/>
      </c>
      <c r="T94" s="67">
        <f>IF(A94="","",COUNTIFS('Häutungen'!$A$7:$A$1006,A94,'Häutungen'!$C$7:$C$1006,"&gt;0"))</f>
        <v/>
      </c>
      <c r="U94" s="68">
        <f>IF(A94="","",IF(T94&lt;2,"",IFERROR(AVERAGEIFS('Häutungen'!$J$7:$J$1006,'Häutungen'!$A$7:$A$1006,A94,'Häutungen'!$K$7:$K$1006,"&lt;3",'Häutungen'!$I$7:$I$1006,"&gt;0"),"")))</f>
        <v/>
      </c>
      <c r="V94" s="67">
        <f>IF(S94="","",TODAY()-S94)</f>
        <v/>
      </c>
      <c r="W94" s="66">
        <f>IF(OR(U94="",AND(F94="männlich",H94="Adult")),"",S94+ROUND(U94*TpM,0))</f>
        <v/>
      </c>
      <c r="X94" s="68">
        <f>IF(A94="","",IF(S94="",IF(I94="","",I94),IF(SUMIFS('Häutungen'!$D$7:$D$1006,'Häutungen'!$A$7:$A$1006,A94,'Häutungen'!$C$7:$C$1006,S94)&gt;0,SUMIFS('Häutungen'!$D$7:$D$1006,'Häutungen'!$A$7:$A$1006,A94,'Häutungen'!$C$7:$C$1006,S94),IF(I94="","",I94))))</f>
        <v/>
      </c>
      <c r="Y94" s="66">
        <f>IF(A94="","",IF(COUNTIFS('Fütterung'!$A$7:$A$2006,A94,'Fütterung'!$E$7:$E$2006,"Ja")=0,"",_xlfn.MAXIFS('Fütterung'!$C$7:$C$2006,'Fütterung'!$A$7:$A$2006,A94,'Fütterung'!$E$7:$E$2006,"Ja")))</f>
        <v/>
      </c>
      <c r="Z94" s="67">
        <f>IF(Y94="","",TODAY()-Y94)</f>
        <v/>
      </c>
      <c r="AA94" s="65">
        <f>IF(A94="","",IF(AND(F94="männlich",H94="Adult"),"Adultes Männchen",IF(AND(Z94&lt;&gt;"",N(Z94)&gt;=FutterGrenze),"Frisst nicht",IF(U94="","Zu wenig Daten",IF(V94&gt;U94*TpM*FaktorUeber,"Überfällig",IF(V94&gt;U94*TpM*FaktorBald,"Fällig","Im Plan"))))))</f>
        <v/>
      </c>
      <c r="AB94" s="69">
        <f>IF(AND(AC94=1,W94&lt;&gt;""),N(W94)+ROW()/100000,"")</f>
        <v/>
      </c>
      <c r="AC94" s="69">
        <f>IF(A94="","",IF(SUBTOTAL(103,A94)=1,1,0))</f>
        <v/>
      </c>
    </row>
    <row r="95" ht="20" customHeight="1">
      <c r="A95" s="60" t="n"/>
      <c r="B95" s="61" t="n"/>
      <c r="C95" s="61" t="n"/>
      <c r="D95" s="61" t="n"/>
      <c r="E95" s="60" t="n"/>
      <c r="F95" s="60" t="n"/>
      <c r="G95" s="60" t="n"/>
      <c r="H95" s="60" t="n"/>
      <c r="I95" s="62" t="n"/>
      <c r="J95" s="63" t="n"/>
      <c r="K95" s="61" t="n"/>
      <c r="L95" s="64" t="n"/>
      <c r="M95" s="60" t="n"/>
      <c r="N95" s="60" t="n"/>
      <c r="O95" s="60" t="n"/>
      <c r="P95" s="61" t="n"/>
      <c r="Q95" s="61" t="n"/>
      <c r="R95" s="65">
        <f>IF(A95="","",TRIM(C95&amp;" "&amp;D95))</f>
        <v/>
      </c>
      <c r="S95" s="66">
        <f>IF(A95="","",IF(COUNTIFS('Häutungen'!$A$7:$A$1006,A95,'Häutungen'!$C$7:$C$1006,"&gt;0")=0,"",_xlfn.MAXIFS('Häutungen'!$C$7:$C$1006,'Häutungen'!$A$7:$A$1006,A95)))</f>
        <v/>
      </c>
      <c r="T95" s="67">
        <f>IF(A95="","",COUNTIFS('Häutungen'!$A$7:$A$1006,A95,'Häutungen'!$C$7:$C$1006,"&gt;0"))</f>
        <v/>
      </c>
      <c r="U95" s="68">
        <f>IF(A95="","",IF(T95&lt;2,"",IFERROR(AVERAGEIFS('Häutungen'!$J$7:$J$1006,'Häutungen'!$A$7:$A$1006,A95,'Häutungen'!$K$7:$K$1006,"&lt;3",'Häutungen'!$I$7:$I$1006,"&gt;0"),"")))</f>
        <v/>
      </c>
      <c r="V95" s="67">
        <f>IF(S95="","",TODAY()-S95)</f>
        <v/>
      </c>
      <c r="W95" s="66">
        <f>IF(OR(U95="",AND(F95="männlich",H95="Adult")),"",S95+ROUND(U95*TpM,0))</f>
        <v/>
      </c>
      <c r="X95" s="68">
        <f>IF(A95="","",IF(S95="",IF(I95="","",I95),IF(SUMIFS('Häutungen'!$D$7:$D$1006,'Häutungen'!$A$7:$A$1006,A95,'Häutungen'!$C$7:$C$1006,S95)&gt;0,SUMIFS('Häutungen'!$D$7:$D$1006,'Häutungen'!$A$7:$A$1006,A95,'Häutungen'!$C$7:$C$1006,S95),IF(I95="","",I95))))</f>
        <v/>
      </c>
      <c r="Y95" s="66">
        <f>IF(A95="","",IF(COUNTIFS('Fütterung'!$A$7:$A$2006,A95,'Fütterung'!$E$7:$E$2006,"Ja")=0,"",_xlfn.MAXIFS('Fütterung'!$C$7:$C$2006,'Fütterung'!$A$7:$A$2006,A95,'Fütterung'!$E$7:$E$2006,"Ja")))</f>
        <v/>
      </c>
      <c r="Z95" s="67">
        <f>IF(Y95="","",TODAY()-Y95)</f>
        <v/>
      </c>
      <c r="AA95" s="65">
        <f>IF(A95="","",IF(AND(F95="männlich",H95="Adult"),"Adultes Männchen",IF(AND(Z95&lt;&gt;"",N(Z95)&gt;=FutterGrenze),"Frisst nicht",IF(U95="","Zu wenig Daten",IF(V95&gt;U95*TpM*FaktorUeber,"Überfällig",IF(V95&gt;U95*TpM*FaktorBald,"Fällig","Im Plan"))))))</f>
        <v/>
      </c>
      <c r="AB95" s="69">
        <f>IF(AND(AC95=1,W95&lt;&gt;""),N(W95)+ROW()/100000,"")</f>
        <v/>
      </c>
      <c r="AC95" s="69">
        <f>IF(A95="","",IF(SUBTOTAL(103,A95)=1,1,0))</f>
        <v/>
      </c>
    </row>
    <row r="96" ht="20" customHeight="1">
      <c r="A96" s="60" t="n"/>
      <c r="B96" s="61" t="n"/>
      <c r="C96" s="61" t="n"/>
      <c r="D96" s="61" t="n"/>
      <c r="E96" s="60" t="n"/>
      <c r="F96" s="60" t="n"/>
      <c r="G96" s="60" t="n"/>
      <c r="H96" s="60" t="n"/>
      <c r="I96" s="62" t="n"/>
      <c r="J96" s="63" t="n"/>
      <c r="K96" s="61" t="n"/>
      <c r="L96" s="64" t="n"/>
      <c r="M96" s="60" t="n"/>
      <c r="N96" s="60" t="n"/>
      <c r="O96" s="60" t="n"/>
      <c r="P96" s="61" t="n"/>
      <c r="Q96" s="61" t="n"/>
      <c r="R96" s="65">
        <f>IF(A96="","",TRIM(C96&amp;" "&amp;D96))</f>
        <v/>
      </c>
      <c r="S96" s="66">
        <f>IF(A96="","",IF(COUNTIFS('Häutungen'!$A$7:$A$1006,A96,'Häutungen'!$C$7:$C$1006,"&gt;0")=0,"",_xlfn.MAXIFS('Häutungen'!$C$7:$C$1006,'Häutungen'!$A$7:$A$1006,A96)))</f>
        <v/>
      </c>
      <c r="T96" s="67">
        <f>IF(A96="","",COUNTIFS('Häutungen'!$A$7:$A$1006,A96,'Häutungen'!$C$7:$C$1006,"&gt;0"))</f>
        <v/>
      </c>
      <c r="U96" s="68">
        <f>IF(A96="","",IF(T96&lt;2,"",IFERROR(AVERAGEIFS('Häutungen'!$J$7:$J$1006,'Häutungen'!$A$7:$A$1006,A96,'Häutungen'!$K$7:$K$1006,"&lt;3",'Häutungen'!$I$7:$I$1006,"&gt;0"),"")))</f>
        <v/>
      </c>
      <c r="V96" s="67">
        <f>IF(S96="","",TODAY()-S96)</f>
        <v/>
      </c>
      <c r="W96" s="66">
        <f>IF(OR(U96="",AND(F96="männlich",H96="Adult")),"",S96+ROUND(U96*TpM,0))</f>
        <v/>
      </c>
      <c r="X96" s="68">
        <f>IF(A96="","",IF(S96="",IF(I96="","",I96),IF(SUMIFS('Häutungen'!$D$7:$D$1006,'Häutungen'!$A$7:$A$1006,A96,'Häutungen'!$C$7:$C$1006,S96)&gt;0,SUMIFS('Häutungen'!$D$7:$D$1006,'Häutungen'!$A$7:$A$1006,A96,'Häutungen'!$C$7:$C$1006,S96),IF(I96="","",I96))))</f>
        <v/>
      </c>
      <c r="Y96" s="66">
        <f>IF(A96="","",IF(COUNTIFS('Fütterung'!$A$7:$A$2006,A96,'Fütterung'!$E$7:$E$2006,"Ja")=0,"",_xlfn.MAXIFS('Fütterung'!$C$7:$C$2006,'Fütterung'!$A$7:$A$2006,A96,'Fütterung'!$E$7:$E$2006,"Ja")))</f>
        <v/>
      </c>
      <c r="Z96" s="67">
        <f>IF(Y96="","",TODAY()-Y96)</f>
        <v/>
      </c>
      <c r="AA96" s="65">
        <f>IF(A96="","",IF(AND(F96="männlich",H96="Adult"),"Adultes Männchen",IF(AND(Z96&lt;&gt;"",N(Z96)&gt;=FutterGrenze),"Frisst nicht",IF(U96="","Zu wenig Daten",IF(V96&gt;U96*TpM*FaktorUeber,"Überfällig",IF(V96&gt;U96*TpM*FaktorBald,"Fällig","Im Plan"))))))</f>
        <v/>
      </c>
      <c r="AB96" s="69">
        <f>IF(AND(AC96=1,W96&lt;&gt;""),N(W96)+ROW()/100000,"")</f>
        <v/>
      </c>
      <c r="AC96" s="69">
        <f>IF(A96="","",IF(SUBTOTAL(103,A96)=1,1,0))</f>
        <v/>
      </c>
    </row>
    <row r="97" ht="20" customHeight="1">
      <c r="A97" s="60" t="n"/>
      <c r="B97" s="61" t="n"/>
      <c r="C97" s="61" t="n"/>
      <c r="D97" s="61" t="n"/>
      <c r="E97" s="60" t="n"/>
      <c r="F97" s="60" t="n"/>
      <c r="G97" s="60" t="n"/>
      <c r="H97" s="60" t="n"/>
      <c r="I97" s="62" t="n"/>
      <c r="J97" s="63" t="n"/>
      <c r="K97" s="61" t="n"/>
      <c r="L97" s="64" t="n"/>
      <c r="M97" s="60" t="n"/>
      <c r="N97" s="60" t="n"/>
      <c r="O97" s="60" t="n"/>
      <c r="P97" s="61" t="n"/>
      <c r="Q97" s="61" t="n"/>
      <c r="R97" s="65">
        <f>IF(A97="","",TRIM(C97&amp;" "&amp;D97))</f>
        <v/>
      </c>
      <c r="S97" s="66">
        <f>IF(A97="","",IF(COUNTIFS('Häutungen'!$A$7:$A$1006,A97,'Häutungen'!$C$7:$C$1006,"&gt;0")=0,"",_xlfn.MAXIFS('Häutungen'!$C$7:$C$1006,'Häutungen'!$A$7:$A$1006,A97)))</f>
        <v/>
      </c>
      <c r="T97" s="67">
        <f>IF(A97="","",COUNTIFS('Häutungen'!$A$7:$A$1006,A97,'Häutungen'!$C$7:$C$1006,"&gt;0"))</f>
        <v/>
      </c>
      <c r="U97" s="68">
        <f>IF(A97="","",IF(T97&lt;2,"",IFERROR(AVERAGEIFS('Häutungen'!$J$7:$J$1006,'Häutungen'!$A$7:$A$1006,A97,'Häutungen'!$K$7:$K$1006,"&lt;3",'Häutungen'!$I$7:$I$1006,"&gt;0"),"")))</f>
        <v/>
      </c>
      <c r="V97" s="67">
        <f>IF(S97="","",TODAY()-S97)</f>
        <v/>
      </c>
      <c r="W97" s="66">
        <f>IF(OR(U97="",AND(F97="männlich",H97="Adult")),"",S97+ROUND(U97*TpM,0))</f>
        <v/>
      </c>
      <c r="X97" s="68">
        <f>IF(A97="","",IF(S97="",IF(I97="","",I97),IF(SUMIFS('Häutungen'!$D$7:$D$1006,'Häutungen'!$A$7:$A$1006,A97,'Häutungen'!$C$7:$C$1006,S97)&gt;0,SUMIFS('Häutungen'!$D$7:$D$1006,'Häutungen'!$A$7:$A$1006,A97,'Häutungen'!$C$7:$C$1006,S97),IF(I97="","",I97))))</f>
        <v/>
      </c>
      <c r="Y97" s="66">
        <f>IF(A97="","",IF(COUNTIFS('Fütterung'!$A$7:$A$2006,A97,'Fütterung'!$E$7:$E$2006,"Ja")=0,"",_xlfn.MAXIFS('Fütterung'!$C$7:$C$2006,'Fütterung'!$A$7:$A$2006,A97,'Fütterung'!$E$7:$E$2006,"Ja")))</f>
        <v/>
      </c>
      <c r="Z97" s="67">
        <f>IF(Y97="","",TODAY()-Y97)</f>
        <v/>
      </c>
      <c r="AA97" s="65">
        <f>IF(A97="","",IF(AND(F97="männlich",H97="Adult"),"Adultes Männchen",IF(AND(Z97&lt;&gt;"",N(Z97)&gt;=FutterGrenze),"Frisst nicht",IF(U97="","Zu wenig Daten",IF(V97&gt;U97*TpM*FaktorUeber,"Überfällig",IF(V97&gt;U97*TpM*FaktorBald,"Fällig","Im Plan"))))))</f>
        <v/>
      </c>
      <c r="AB97" s="69">
        <f>IF(AND(AC97=1,W97&lt;&gt;""),N(W97)+ROW()/100000,"")</f>
        <v/>
      </c>
      <c r="AC97" s="69">
        <f>IF(A97="","",IF(SUBTOTAL(103,A97)=1,1,0))</f>
        <v/>
      </c>
    </row>
    <row r="98" ht="20" customHeight="1">
      <c r="A98" s="60" t="n"/>
      <c r="B98" s="61" t="n"/>
      <c r="C98" s="61" t="n"/>
      <c r="D98" s="61" t="n"/>
      <c r="E98" s="60" t="n"/>
      <c r="F98" s="60" t="n"/>
      <c r="G98" s="60" t="n"/>
      <c r="H98" s="60" t="n"/>
      <c r="I98" s="62" t="n"/>
      <c r="J98" s="63" t="n"/>
      <c r="K98" s="61" t="n"/>
      <c r="L98" s="64" t="n"/>
      <c r="M98" s="60" t="n"/>
      <c r="N98" s="60" t="n"/>
      <c r="O98" s="60" t="n"/>
      <c r="P98" s="61" t="n"/>
      <c r="Q98" s="61" t="n"/>
      <c r="R98" s="65">
        <f>IF(A98="","",TRIM(C98&amp;" "&amp;D98))</f>
        <v/>
      </c>
      <c r="S98" s="66">
        <f>IF(A98="","",IF(COUNTIFS('Häutungen'!$A$7:$A$1006,A98,'Häutungen'!$C$7:$C$1006,"&gt;0")=0,"",_xlfn.MAXIFS('Häutungen'!$C$7:$C$1006,'Häutungen'!$A$7:$A$1006,A98)))</f>
        <v/>
      </c>
      <c r="T98" s="67">
        <f>IF(A98="","",COUNTIFS('Häutungen'!$A$7:$A$1006,A98,'Häutungen'!$C$7:$C$1006,"&gt;0"))</f>
        <v/>
      </c>
      <c r="U98" s="68">
        <f>IF(A98="","",IF(T98&lt;2,"",IFERROR(AVERAGEIFS('Häutungen'!$J$7:$J$1006,'Häutungen'!$A$7:$A$1006,A98,'Häutungen'!$K$7:$K$1006,"&lt;3",'Häutungen'!$I$7:$I$1006,"&gt;0"),"")))</f>
        <v/>
      </c>
      <c r="V98" s="67">
        <f>IF(S98="","",TODAY()-S98)</f>
        <v/>
      </c>
      <c r="W98" s="66">
        <f>IF(OR(U98="",AND(F98="männlich",H98="Adult")),"",S98+ROUND(U98*TpM,0))</f>
        <v/>
      </c>
      <c r="X98" s="68">
        <f>IF(A98="","",IF(S98="",IF(I98="","",I98),IF(SUMIFS('Häutungen'!$D$7:$D$1006,'Häutungen'!$A$7:$A$1006,A98,'Häutungen'!$C$7:$C$1006,S98)&gt;0,SUMIFS('Häutungen'!$D$7:$D$1006,'Häutungen'!$A$7:$A$1006,A98,'Häutungen'!$C$7:$C$1006,S98),IF(I98="","",I98))))</f>
        <v/>
      </c>
      <c r="Y98" s="66">
        <f>IF(A98="","",IF(COUNTIFS('Fütterung'!$A$7:$A$2006,A98,'Fütterung'!$E$7:$E$2006,"Ja")=0,"",_xlfn.MAXIFS('Fütterung'!$C$7:$C$2006,'Fütterung'!$A$7:$A$2006,A98,'Fütterung'!$E$7:$E$2006,"Ja")))</f>
        <v/>
      </c>
      <c r="Z98" s="67">
        <f>IF(Y98="","",TODAY()-Y98)</f>
        <v/>
      </c>
      <c r="AA98" s="65">
        <f>IF(A98="","",IF(AND(F98="männlich",H98="Adult"),"Adultes Männchen",IF(AND(Z98&lt;&gt;"",N(Z98)&gt;=FutterGrenze),"Frisst nicht",IF(U98="","Zu wenig Daten",IF(V98&gt;U98*TpM*FaktorUeber,"Überfällig",IF(V98&gt;U98*TpM*FaktorBald,"Fällig","Im Plan"))))))</f>
        <v/>
      </c>
      <c r="AB98" s="69">
        <f>IF(AND(AC98=1,W98&lt;&gt;""),N(W98)+ROW()/100000,"")</f>
        <v/>
      </c>
      <c r="AC98" s="69">
        <f>IF(A98="","",IF(SUBTOTAL(103,A98)=1,1,0))</f>
        <v/>
      </c>
    </row>
    <row r="99" ht="20" customHeight="1">
      <c r="A99" s="60" t="n"/>
      <c r="B99" s="61" t="n"/>
      <c r="C99" s="61" t="n"/>
      <c r="D99" s="61" t="n"/>
      <c r="E99" s="60" t="n"/>
      <c r="F99" s="60" t="n"/>
      <c r="G99" s="60" t="n"/>
      <c r="H99" s="60" t="n"/>
      <c r="I99" s="62" t="n"/>
      <c r="J99" s="63" t="n"/>
      <c r="K99" s="61" t="n"/>
      <c r="L99" s="64" t="n"/>
      <c r="M99" s="60" t="n"/>
      <c r="N99" s="60" t="n"/>
      <c r="O99" s="60" t="n"/>
      <c r="P99" s="61" t="n"/>
      <c r="Q99" s="61" t="n"/>
      <c r="R99" s="65">
        <f>IF(A99="","",TRIM(C99&amp;" "&amp;D99))</f>
        <v/>
      </c>
      <c r="S99" s="66">
        <f>IF(A99="","",IF(COUNTIFS('Häutungen'!$A$7:$A$1006,A99,'Häutungen'!$C$7:$C$1006,"&gt;0")=0,"",_xlfn.MAXIFS('Häutungen'!$C$7:$C$1006,'Häutungen'!$A$7:$A$1006,A99)))</f>
        <v/>
      </c>
      <c r="T99" s="67">
        <f>IF(A99="","",COUNTIFS('Häutungen'!$A$7:$A$1006,A99,'Häutungen'!$C$7:$C$1006,"&gt;0"))</f>
        <v/>
      </c>
      <c r="U99" s="68">
        <f>IF(A99="","",IF(T99&lt;2,"",IFERROR(AVERAGEIFS('Häutungen'!$J$7:$J$1006,'Häutungen'!$A$7:$A$1006,A99,'Häutungen'!$K$7:$K$1006,"&lt;3",'Häutungen'!$I$7:$I$1006,"&gt;0"),"")))</f>
        <v/>
      </c>
      <c r="V99" s="67">
        <f>IF(S99="","",TODAY()-S99)</f>
        <v/>
      </c>
      <c r="W99" s="66">
        <f>IF(OR(U99="",AND(F99="männlich",H99="Adult")),"",S99+ROUND(U99*TpM,0))</f>
        <v/>
      </c>
      <c r="X99" s="68">
        <f>IF(A99="","",IF(S99="",IF(I99="","",I99),IF(SUMIFS('Häutungen'!$D$7:$D$1006,'Häutungen'!$A$7:$A$1006,A99,'Häutungen'!$C$7:$C$1006,S99)&gt;0,SUMIFS('Häutungen'!$D$7:$D$1006,'Häutungen'!$A$7:$A$1006,A99,'Häutungen'!$C$7:$C$1006,S99),IF(I99="","",I99))))</f>
        <v/>
      </c>
      <c r="Y99" s="66">
        <f>IF(A99="","",IF(COUNTIFS('Fütterung'!$A$7:$A$2006,A99,'Fütterung'!$E$7:$E$2006,"Ja")=0,"",_xlfn.MAXIFS('Fütterung'!$C$7:$C$2006,'Fütterung'!$A$7:$A$2006,A99,'Fütterung'!$E$7:$E$2006,"Ja")))</f>
        <v/>
      </c>
      <c r="Z99" s="67">
        <f>IF(Y99="","",TODAY()-Y99)</f>
        <v/>
      </c>
      <c r="AA99" s="65">
        <f>IF(A99="","",IF(AND(F99="männlich",H99="Adult"),"Adultes Männchen",IF(AND(Z99&lt;&gt;"",N(Z99)&gt;=FutterGrenze),"Frisst nicht",IF(U99="","Zu wenig Daten",IF(V99&gt;U99*TpM*FaktorUeber,"Überfällig",IF(V99&gt;U99*TpM*FaktorBald,"Fällig","Im Plan"))))))</f>
        <v/>
      </c>
      <c r="AB99" s="69">
        <f>IF(AND(AC99=1,W99&lt;&gt;""),N(W99)+ROW()/100000,"")</f>
        <v/>
      </c>
      <c r="AC99" s="69">
        <f>IF(A99="","",IF(SUBTOTAL(103,A99)=1,1,0))</f>
        <v/>
      </c>
    </row>
    <row r="100" ht="20" customHeight="1">
      <c r="A100" s="60" t="n"/>
      <c r="B100" s="61" t="n"/>
      <c r="C100" s="61" t="n"/>
      <c r="D100" s="61" t="n"/>
      <c r="E100" s="60" t="n"/>
      <c r="F100" s="60" t="n"/>
      <c r="G100" s="60" t="n"/>
      <c r="H100" s="60" t="n"/>
      <c r="I100" s="62" t="n"/>
      <c r="J100" s="63" t="n"/>
      <c r="K100" s="61" t="n"/>
      <c r="L100" s="64" t="n"/>
      <c r="M100" s="60" t="n"/>
      <c r="N100" s="60" t="n"/>
      <c r="O100" s="60" t="n"/>
      <c r="P100" s="61" t="n"/>
      <c r="Q100" s="61" t="n"/>
      <c r="R100" s="65">
        <f>IF(A100="","",TRIM(C100&amp;" "&amp;D100))</f>
        <v/>
      </c>
      <c r="S100" s="66">
        <f>IF(A100="","",IF(COUNTIFS('Häutungen'!$A$7:$A$1006,A100,'Häutungen'!$C$7:$C$1006,"&gt;0")=0,"",_xlfn.MAXIFS('Häutungen'!$C$7:$C$1006,'Häutungen'!$A$7:$A$1006,A100)))</f>
        <v/>
      </c>
      <c r="T100" s="67">
        <f>IF(A100="","",COUNTIFS('Häutungen'!$A$7:$A$1006,A100,'Häutungen'!$C$7:$C$1006,"&gt;0"))</f>
        <v/>
      </c>
      <c r="U100" s="68">
        <f>IF(A100="","",IF(T100&lt;2,"",IFERROR(AVERAGEIFS('Häutungen'!$J$7:$J$1006,'Häutungen'!$A$7:$A$1006,A100,'Häutungen'!$K$7:$K$1006,"&lt;3",'Häutungen'!$I$7:$I$1006,"&gt;0"),"")))</f>
        <v/>
      </c>
      <c r="V100" s="67">
        <f>IF(S100="","",TODAY()-S100)</f>
        <v/>
      </c>
      <c r="W100" s="66">
        <f>IF(OR(U100="",AND(F100="männlich",H100="Adult")),"",S100+ROUND(U100*TpM,0))</f>
        <v/>
      </c>
      <c r="X100" s="68">
        <f>IF(A100="","",IF(S100="",IF(I100="","",I100),IF(SUMIFS('Häutungen'!$D$7:$D$1006,'Häutungen'!$A$7:$A$1006,A100,'Häutungen'!$C$7:$C$1006,S100)&gt;0,SUMIFS('Häutungen'!$D$7:$D$1006,'Häutungen'!$A$7:$A$1006,A100,'Häutungen'!$C$7:$C$1006,S100),IF(I100="","",I100))))</f>
        <v/>
      </c>
      <c r="Y100" s="66">
        <f>IF(A100="","",IF(COUNTIFS('Fütterung'!$A$7:$A$2006,A100,'Fütterung'!$E$7:$E$2006,"Ja")=0,"",_xlfn.MAXIFS('Fütterung'!$C$7:$C$2006,'Fütterung'!$A$7:$A$2006,A100,'Fütterung'!$E$7:$E$2006,"Ja")))</f>
        <v/>
      </c>
      <c r="Z100" s="67">
        <f>IF(Y100="","",TODAY()-Y100)</f>
        <v/>
      </c>
      <c r="AA100" s="65">
        <f>IF(A100="","",IF(AND(F100="männlich",H100="Adult"),"Adultes Männchen",IF(AND(Z100&lt;&gt;"",N(Z100)&gt;=FutterGrenze),"Frisst nicht",IF(U100="","Zu wenig Daten",IF(V100&gt;U100*TpM*FaktorUeber,"Überfällig",IF(V100&gt;U100*TpM*FaktorBald,"Fällig","Im Plan"))))))</f>
        <v/>
      </c>
      <c r="AB100" s="69">
        <f>IF(AND(AC100=1,W100&lt;&gt;""),N(W100)+ROW()/100000,"")</f>
        <v/>
      </c>
      <c r="AC100" s="69">
        <f>IF(A100="","",IF(SUBTOTAL(103,A100)=1,1,0))</f>
        <v/>
      </c>
    </row>
    <row r="101" ht="20" customHeight="1">
      <c r="A101" s="60" t="n"/>
      <c r="B101" s="61" t="n"/>
      <c r="C101" s="61" t="n"/>
      <c r="D101" s="61" t="n"/>
      <c r="E101" s="60" t="n"/>
      <c r="F101" s="60" t="n"/>
      <c r="G101" s="60" t="n"/>
      <c r="H101" s="60" t="n"/>
      <c r="I101" s="62" t="n"/>
      <c r="J101" s="63" t="n"/>
      <c r="K101" s="61" t="n"/>
      <c r="L101" s="64" t="n"/>
      <c r="M101" s="60" t="n"/>
      <c r="N101" s="60" t="n"/>
      <c r="O101" s="60" t="n"/>
      <c r="P101" s="61" t="n"/>
      <c r="Q101" s="61" t="n"/>
      <c r="R101" s="65">
        <f>IF(A101="","",TRIM(C101&amp;" "&amp;D101))</f>
        <v/>
      </c>
      <c r="S101" s="66">
        <f>IF(A101="","",IF(COUNTIFS('Häutungen'!$A$7:$A$1006,A101,'Häutungen'!$C$7:$C$1006,"&gt;0")=0,"",_xlfn.MAXIFS('Häutungen'!$C$7:$C$1006,'Häutungen'!$A$7:$A$1006,A101)))</f>
        <v/>
      </c>
      <c r="T101" s="67">
        <f>IF(A101="","",COUNTIFS('Häutungen'!$A$7:$A$1006,A101,'Häutungen'!$C$7:$C$1006,"&gt;0"))</f>
        <v/>
      </c>
      <c r="U101" s="68">
        <f>IF(A101="","",IF(T101&lt;2,"",IFERROR(AVERAGEIFS('Häutungen'!$J$7:$J$1006,'Häutungen'!$A$7:$A$1006,A101,'Häutungen'!$K$7:$K$1006,"&lt;3",'Häutungen'!$I$7:$I$1006,"&gt;0"),"")))</f>
        <v/>
      </c>
      <c r="V101" s="67">
        <f>IF(S101="","",TODAY()-S101)</f>
        <v/>
      </c>
      <c r="W101" s="66">
        <f>IF(OR(U101="",AND(F101="männlich",H101="Adult")),"",S101+ROUND(U101*TpM,0))</f>
        <v/>
      </c>
      <c r="X101" s="68">
        <f>IF(A101="","",IF(S101="",IF(I101="","",I101),IF(SUMIFS('Häutungen'!$D$7:$D$1006,'Häutungen'!$A$7:$A$1006,A101,'Häutungen'!$C$7:$C$1006,S101)&gt;0,SUMIFS('Häutungen'!$D$7:$D$1006,'Häutungen'!$A$7:$A$1006,A101,'Häutungen'!$C$7:$C$1006,S101),IF(I101="","",I101))))</f>
        <v/>
      </c>
      <c r="Y101" s="66">
        <f>IF(A101="","",IF(COUNTIFS('Fütterung'!$A$7:$A$2006,A101,'Fütterung'!$E$7:$E$2006,"Ja")=0,"",_xlfn.MAXIFS('Fütterung'!$C$7:$C$2006,'Fütterung'!$A$7:$A$2006,A101,'Fütterung'!$E$7:$E$2006,"Ja")))</f>
        <v/>
      </c>
      <c r="Z101" s="67">
        <f>IF(Y101="","",TODAY()-Y101)</f>
        <v/>
      </c>
      <c r="AA101" s="65">
        <f>IF(A101="","",IF(AND(F101="männlich",H101="Adult"),"Adultes Männchen",IF(AND(Z101&lt;&gt;"",N(Z101)&gt;=FutterGrenze),"Frisst nicht",IF(U101="","Zu wenig Daten",IF(V101&gt;U101*TpM*FaktorUeber,"Überfällig",IF(V101&gt;U101*TpM*FaktorBald,"Fällig","Im Plan"))))))</f>
        <v/>
      </c>
      <c r="AB101" s="69">
        <f>IF(AND(AC101=1,W101&lt;&gt;""),N(W101)+ROW()/100000,"")</f>
        <v/>
      </c>
      <c r="AC101" s="69">
        <f>IF(A101="","",IF(SUBTOTAL(103,A101)=1,1,0))</f>
        <v/>
      </c>
    </row>
    <row r="102" ht="20" customHeight="1">
      <c r="A102" s="60" t="n"/>
      <c r="B102" s="61" t="n"/>
      <c r="C102" s="61" t="n"/>
      <c r="D102" s="61" t="n"/>
      <c r="E102" s="60" t="n"/>
      <c r="F102" s="60" t="n"/>
      <c r="G102" s="60" t="n"/>
      <c r="H102" s="60" t="n"/>
      <c r="I102" s="62" t="n"/>
      <c r="J102" s="63" t="n"/>
      <c r="K102" s="61" t="n"/>
      <c r="L102" s="64" t="n"/>
      <c r="M102" s="60" t="n"/>
      <c r="N102" s="60" t="n"/>
      <c r="O102" s="60" t="n"/>
      <c r="P102" s="61" t="n"/>
      <c r="Q102" s="61" t="n"/>
      <c r="R102" s="65">
        <f>IF(A102="","",TRIM(C102&amp;" "&amp;D102))</f>
        <v/>
      </c>
      <c r="S102" s="66">
        <f>IF(A102="","",IF(COUNTIFS('Häutungen'!$A$7:$A$1006,A102,'Häutungen'!$C$7:$C$1006,"&gt;0")=0,"",_xlfn.MAXIFS('Häutungen'!$C$7:$C$1006,'Häutungen'!$A$7:$A$1006,A102)))</f>
        <v/>
      </c>
      <c r="T102" s="67">
        <f>IF(A102="","",COUNTIFS('Häutungen'!$A$7:$A$1006,A102,'Häutungen'!$C$7:$C$1006,"&gt;0"))</f>
        <v/>
      </c>
      <c r="U102" s="68">
        <f>IF(A102="","",IF(T102&lt;2,"",IFERROR(AVERAGEIFS('Häutungen'!$J$7:$J$1006,'Häutungen'!$A$7:$A$1006,A102,'Häutungen'!$K$7:$K$1006,"&lt;3",'Häutungen'!$I$7:$I$1006,"&gt;0"),"")))</f>
        <v/>
      </c>
      <c r="V102" s="67">
        <f>IF(S102="","",TODAY()-S102)</f>
        <v/>
      </c>
      <c r="W102" s="66">
        <f>IF(OR(U102="",AND(F102="männlich",H102="Adult")),"",S102+ROUND(U102*TpM,0))</f>
        <v/>
      </c>
      <c r="X102" s="68">
        <f>IF(A102="","",IF(S102="",IF(I102="","",I102),IF(SUMIFS('Häutungen'!$D$7:$D$1006,'Häutungen'!$A$7:$A$1006,A102,'Häutungen'!$C$7:$C$1006,S102)&gt;0,SUMIFS('Häutungen'!$D$7:$D$1006,'Häutungen'!$A$7:$A$1006,A102,'Häutungen'!$C$7:$C$1006,S102),IF(I102="","",I102))))</f>
        <v/>
      </c>
      <c r="Y102" s="66">
        <f>IF(A102="","",IF(COUNTIFS('Fütterung'!$A$7:$A$2006,A102,'Fütterung'!$E$7:$E$2006,"Ja")=0,"",_xlfn.MAXIFS('Fütterung'!$C$7:$C$2006,'Fütterung'!$A$7:$A$2006,A102,'Fütterung'!$E$7:$E$2006,"Ja")))</f>
        <v/>
      </c>
      <c r="Z102" s="67">
        <f>IF(Y102="","",TODAY()-Y102)</f>
        <v/>
      </c>
      <c r="AA102" s="65">
        <f>IF(A102="","",IF(AND(F102="männlich",H102="Adult"),"Adultes Männchen",IF(AND(Z102&lt;&gt;"",N(Z102)&gt;=FutterGrenze),"Frisst nicht",IF(U102="","Zu wenig Daten",IF(V102&gt;U102*TpM*FaktorUeber,"Überfällig",IF(V102&gt;U102*TpM*FaktorBald,"Fällig","Im Plan"))))))</f>
        <v/>
      </c>
      <c r="AB102" s="69">
        <f>IF(AND(AC102=1,W102&lt;&gt;""),N(W102)+ROW()/100000,"")</f>
        <v/>
      </c>
      <c r="AC102" s="69">
        <f>IF(A102="","",IF(SUBTOTAL(103,A102)=1,1,0))</f>
        <v/>
      </c>
    </row>
    <row r="103" ht="20" customHeight="1">
      <c r="A103" s="60" t="n"/>
      <c r="B103" s="61" t="n"/>
      <c r="C103" s="61" t="n"/>
      <c r="D103" s="61" t="n"/>
      <c r="E103" s="60" t="n"/>
      <c r="F103" s="60" t="n"/>
      <c r="G103" s="60" t="n"/>
      <c r="H103" s="60" t="n"/>
      <c r="I103" s="62" t="n"/>
      <c r="J103" s="63" t="n"/>
      <c r="K103" s="61" t="n"/>
      <c r="L103" s="64" t="n"/>
      <c r="M103" s="60" t="n"/>
      <c r="N103" s="60" t="n"/>
      <c r="O103" s="60" t="n"/>
      <c r="P103" s="61" t="n"/>
      <c r="Q103" s="61" t="n"/>
      <c r="R103" s="65">
        <f>IF(A103="","",TRIM(C103&amp;" "&amp;D103))</f>
        <v/>
      </c>
      <c r="S103" s="66">
        <f>IF(A103="","",IF(COUNTIFS('Häutungen'!$A$7:$A$1006,A103,'Häutungen'!$C$7:$C$1006,"&gt;0")=0,"",_xlfn.MAXIFS('Häutungen'!$C$7:$C$1006,'Häutungen'!$A$7:$A$1006,A103)))</f>
        <v/>
      </c>
      <c r="T103" s="67">
        <f>IF(A103="","",COUNTIFS('Häutungen'!$A$7:$A$1006,A103,'Häutungen'!$C$7:$C$1006,"&gt;0"))</f>
        <v/>
      </c>
      <c r="U103" s="68">
        <f>IF(A103="","",IF(T103&lt;2,"",IFERROR(AVERAGEIFS('Häutungen'!$J$7:$J$1006,'Häutungen'!$A$7:$A$1006,A103,'Häutungen'!$K$7:$K$1006,"&lt;3",'Häutungen'!$I$7:$I$1006,"&gt;0"),"")))</f>
        <v/>
      </c>
      <c r="V103" s="67">
        <f>IF(S103="","",TODAY()-S103)</f>
        <v/>
      </c>
      <c r="W103" s="66">
        <f>IF(OR(U103="",AND(F103="männlich",H103="Adult")),"",S103+ROUND(U103*TpM,0))</f>
        <v/>
      </c>
      <c r="X103" s="68">
        <f>IF(A103="","",IF(S103="",IF(I103="","",I103),IF(SUMIFS('Häutungen'!$D$7:$D$1006,'Häutungen'!$A$7:$A$1006,A103,'Häutungen'!$C$7:$C$1006,S103)&gt;0,SUMIFS('Häutungen'!$D$7:$D$1006,'Häutungen'!$A$7:$A$1006,A103,'Häutungen'!$C$7:$C$1006,S103),IF(I103="","",I103))))</f>
        <v/>
      </c>
      <c r="Y103" s="66">
        <f>IF(A103="","",IF(COUNTIFS('Fütterung'!$A$7:$A$2006,A103,'Fütterung'!$E$7:$E$2006,"Ja")=0,"",_xlfn.MAXIFS('Fütterung'!$C$7:$C$2006,'Fütterung'!$A$7:$A$2006,A103,'Fütterung'!$E$7:$E$2006,"Ja")))</f>
        <v/>
      </c>
      <c r="Z103" s="67">
        <f>IF(Y103="","",TODAY()-Y103)</f>
        <v/>
      </c>
      <c r="AA103" s="65">
        <f>IF(A103="","",IF(AND(F103="männlich",H103="Adult"),"Adultes Männchen",IF(AND(Z103&lt;&gt;"",N(Z103)&gt;=FutterGrenze),"Frisst nicht",IF(U103="","Zu wenig Daten",IF(V103&gt;U103*TpM*FaktorUeber,"Überfällig",IF(V103&gt;U103*TpM*FaktorBald,"Fällig","Im Plan"))))))</f>
        <v/>
      </c>
      <c r="AB103" s="69">
        <f>IF(AND(AC103=1,W103&lt;&gt;""),N(W103)+ROW()/100000,"")</f>
        <v/>
      </c>
      <c r="AC103" s="69">
        <f>IF(A103="","",IF(SUBTOTAL(103,A103)=1,1,0))</f>
        <v/>
      </c>
    </row>
    <row r="104" ht="20" customHeight="1">
      <c r="A104" s="60" t="n"/>
      <c r="B104" s="61" t="n"/>
      <c r="C104" s="61" t="n"/>
      <c r="D104" s="61" t="n"/>
      <c r="E104" s="60" t="n"/>
      <c r="F104" s="60" t="n"/>
      <c r="G104" s="60" t="n"/>
      <c r="H104" s="60" t="n"/>
      <c r="I104" s="62" t="n"/>
      <c r="J104" s="63" t="n"/>
      <c r="K104" s="61" t="n"/>
      <c r="L104" s="64" t="n"/>
      <c r="M104" s="60" t="n"/>
      <c r="N104" s="60" t="n"/>
      <c r="O104" s="60" t="n"/>
      <c r="P104" s="61" t="n"/>
      <c r="Q104" s="61" t="n"/>
      <c r="R104" s="65">
        <f>IF(A104="","",TRIM(C104&amp;" "&amp;D104))</f>
        <v/>
      </c>
      <c r="S104" s="66">
        <f>IF(A104="","",IF(COUNTIFS('Häutungen'!$A$7:$A$1006,A104,'Häutungen'!$C$7:$C$1006,"&gt;0")=0,"",_xlfn.MAXIFS('Häutungen'!$C$7:$C$1006,'Häutungen'!$A$7:$A$1006,A104)))</f>
        <v/>
      </c>
      <c r="T104" s="67">
        <f>IF(A104="","",COUNTIFS('Häutungen'!$A$7:$A$1006,A104,'Häutungen'!$C$7:$C$1006,"&gt;0"))</f>
        <v/>
      </c>
      <c r="U104" s="68">
        <f>IF(A104="","",IF(T104&lt;2,"",IFERROR(AVERAGEIFS('Häutungen'!$J$7:$J$1006,'Häutungen'!$A$7:$A$1006,A104,'Häutungen'!$K$7:$K$1006,"&lt;3",'Häutungen'!$I$7:$I$1006,"&gt;0"),"")))</f>
        <v/>
      </c>
      <c r="V104" s="67">
        <f>IF(S104="","",TODAY()-S104)</f>
        <v/>
      </c>
      <c r="W104" s="66">
        <f>IF(OR(U104="",AND(F104="männlich",H104="Adult")),"",S104+ROUND(U104*TpM,0))</f>
        <v/>
      </c>
      <c r="X104" s="68">
        <f>IF(A104="","",IF(S104="",IF(I104="","",I104),IF(SUMIFS('Häutungen'!$D$7:$D$1006,'Häutungen'!$A$7:$A$1006,A104,'Häutungen'!$C$7:$C$1006,S104)&gt;0,SUMIFS('Häutungen'!$D$7:$D$1006,'Häutungen'!$A$7:$A$1006,A104,'Häutungen'!$C$7:$C$1006,S104),IF(I104="","",I104))))</f>
        <v/>
      </c>
      <c r="Y104" s="66">
        <f>IF(A104="","",IF(COUNTIFS('Fütterung'!$A$7:$A$2006,A104,'Fütterung'!$E$7:$E$2006,"Ja")=0,"",_xlfn.MAXIFS('Fütterung'!$C$7:$C$2006,'Fütterung'!$A$7:$A$2006,A104,'Fütterung'!$E$7:$E$2006,"Ja")))</f>
        <v/>
      </c>
      <c r="Z104" s="67">
        <f>IF(Y104="","",TODAY()-Y104)</f>
        <v/>
      </c>
      <c r="AA104" s="65">
        <f>IF(A104="","",IF(AND(F104="männlich",H104="Adult"),"Adultes Männchen",IF(AND(Z104&lt;&gt;"",N(Z104)&gt;=FutterGrenze),"Frisst nicht",IF(U104="","Zu wenig Daten",IF(V104&gt;U104*TpM*FaktorUeber,"Überfällig",IF(V104&gt;U104*TpM*FaktorBald,"Fällig","Im Plan"))))))</f>
        <v/>
      </c>
      <c r="AB104" s="69">
        <f>IF(AND(AC104=1,W104&lt;&gt;""),N(W104)+ROW()/100000,"")</f>
        <v/>
      </c>
      <c r="AC104" s="69">
        <f>IF(A104="","",IF(SUBTOTAL(103,A104)=1,1,0))</f>
        <v/>
      </c>
    </row>
    <row r="105" ht="20" customHeight="1">
      <c r="A105" s="60" t="n"/>
      <c r="B105" s="61" t="n"/>
      <c r="C105" s="61" t="n"/>
      <c r="D105" s="61" t="n"/>
      <c r="E105" s="60" t="n"/>
      <c r="F105" s="60" t="n"/>
      <c r="G105" s="60" t="n"/>
      <c r="H105" s="60" t="n"/>
      <c r="I105" s="62" t="n"/>
      <c r="J105" s="63" t="n"/>
      <c r="K105" s="61" t="n"/>
      <c r="L105" s="64" t="n"/>
      <c r="M105" s="60" t="n"/>
      <c r="N105" s="60" t="n"/>
      <c r="O105" s="60" t="n"/>
      <c r="P105" s="61" t="n"/>
      <c r="Q105" s="61" t="n"/>
      <c r="R105" s="65">
        <f>IF(A105="","",TRIM(C105&amp;" "&amp;D105))</f>
        <v/>
      </c>
      <c r="S105" s="66">
        <f>IF(A105="","",IF(COUNTIFS('Häutungen'!$A$7:$A$1006,A105,'Häutungen'!$C$7:$C$1006,"&gt;0")=0,"",_xlfn.MAXIFS('Häutungen'!$C$7:$C$1006,'Häutungen'!$A$7:$A$1006,A105)))</f>
        <v/>
      </c>
      <c r="T105" s="67">
        <f>IF(A105="","",COUNTIFS('Häutungen'!$A$7:$A$1006,A105,'Häutungen'!$C$7:$C$1006,"&gt;0"))</f>
        <v/>
      </c>
      <c r="U105" s="68">
        <f>IF(A105="","",IF(T105&lt;2,"",IFERROR(AVERAGEIFS('Häutungen'!$J$7:$J$1006,'Häutungen'!$A$7:$A$1006,A105,'Häutungen'!$K$7:$K$1006,"&lt;3",'Häutungen'!$I$7:$I$1006,"&gt;0"),"")))</f>
        <v/>
      </c>
      <c r="V105" s="67">
        <f>IF(S105="","",TODAY()-S105)</f>
        <v/>
      </c>
      <c r="W105" s="66">
        <f>IF(OR(U105="",AND(F105="männlich",H105="Adult")),"",S105+ROUND(U105*TpM,0))</f>
        <v/>
      </c>
      <c r="X105" s="68">
        <f>IF(A105="","",IF(S105="",IF(I105="","",I105),IF(SUMIFS('Häutungen'!$D$7:$D$1006,'Häutungen'!$A$7:$A$1006,A105,'Häutungen'!$C$7:$C$1006,S105)&gt;0,SUMIFS('Häutungen'!$D$7:$D$1006,'Häutungen'!$A$7:$A$1006,A105,'Häutungen'!$C$7:$C$1006,S105),IF(I105="","",I105))))</f>
        <v/>
      </c>
      <c r="Y105" s="66">
        <f>IF(A105="","",IF(COUNTIFS('Fütterung'!$A$7:$A$2006,A105,'Fütterung'!$E$7:$E$2006,"Ja")=0,"",_xlfn.MAXIFS('Fütterung'!$C$7:$C$2006,'Fütterung'!$A$7:$A$2006,A105,'Fütterung'!$E$7:$E$2006,"Ja")))</f>
        <v/>
      </c>
      <c r="Z105" s="67">
        <f>IF(Y105="","",TODAY()-Y105)</f>
        <v/>
      </c>
      <c r="AA105" s="65">
        <f>IF(A105="","",IF(AND(F105="männlich",H105="Adult"),"Adultes Männchen",IF(AND(Z105&lt;&gt;"",N(Z105)&gt;=FutterGrenze),"Frisst nicht",IF(U105="","Zu wenig Daten",IF(V105&gt;U105*TpM*FaktorUeber,"Überfällig",IF(V105&gt;U105*TpM*FaktorBald,"Fällig","Im Plan"))))))</f>
        <v/>
      </c>
      <c r="AB105" s="69">
        <f>IF(AND(AC105=1,W105&lt;&gt;""),N(W105)+ROW()/100000,"")</f>
        <v/>
      </c>
      <c r="AC105" s="69">
        <f>IF(A105="","",IF(SUBTOTAL(103,A105)=1,1,0))</f>
        <v/>
      </c>
    </row>
    <row r="106" ht="20" customHeight="1">
      <c r="A106" s="60" t="n"/>
      <c r="B106" s="61" t="n"/>
      <c r="C106" s="61" t="n"/>
      <c r="D106" s="61" t="n"/>
      <c r="E106" s="60" t="n"/>
      <c r="F106" s="60" t="n"/>
      <c r="G106" s="60" t="n"/>
      <c r="H106" s="60" t="n"/>
      <c r="I106" s="62" t="n"/>
      <c r="J106" s="63" t="n"/>
      <c r="K106" s="61" t="n"/>
      <c r="L106" s="64" t="n"/>
      <c r="M106" s="60" t="n"/>
      <c r="N106" s="60" t="n"/>
      <c r="O106" s="60" t="n"/>
      <c r="P106" s="61" t="n"/>
      <c r="Q106" s="61" t="n"/>
      <c r="R106" s="65">
        <f>IF(A106="","",TRIM(C106&amp;" "&amp;D106))</f>
        <v/>
      </c>
      <c r="S106" s="66">
        <f>IF(A106="","",IF(COUNTIFS('Häutungen'!$A$7:$A$1006,A106,'Häutungen'!$C$7:$C$1006,"&gt;0")=0,"",_xlfn.MAXIFS('Häutungen'!$C$7:$C$1006,'Häutungen'!$A$7:$A$1006,A106)))</f>
        <v/>
      </c>
      <c r="T106" s="67">
        <f>IF(A106="","",COUNTIFS('Häutungen'!$A$7:$A$1006,A106,'Häutungen'!$C$7:$C$1006,"&gt;0"))</f>
        <v/>
      </c>
      <c r="U106" s="68">
        <f>IF(A106="","",IF(T106&lt;2,"",IFERROR(AVERAGEIFS('Häutungen'!$J$7:$J$1006,'Häutungen'!$A$7:$A$1006,A106,'Häutungen'!$K$7:$K$1006,"&lt;3",'Häutungen'!$I$7:$I$1006,"&gt;0"),"")))</f>
        <v/>
      </c>
      <c r="V106" s="67">
        <f>IF(S106="","",TODAY()-S106)</f>
        <v/>
      </c>
      <c r="W106" s="66">
        <f>IF(OR(U106="",AND(F106="männlich",H106="Adult")),"",S106+ROUND(U106*TpM,0))</f>
        <v/>
      </c>
      <c r="X106" s="68">
        <f>IF(A106="","",IF(S106="",IF(I106="","",I106),IF(SUMIFS('Häutungen'!$D$7:$D$1006,'Häutungen'!$A$7:$A$1006,A106,'Häutungen'!$C$7:$C$1006,S106)&gt;0,SUMIFS('Häutungen'!$D$7:$D$1006,'Häutungen'!$A$7:$A$1006,A106,'Häutungen'!$C$7:$C$1006,S106),IF(I106="","",I106))))</f>
        <v/>
      </c>
      <c r="Y106" s="66">
        <f>IF(A106="","",IF(COUNTIFS('Fütterung'!$A$7:$A$2006,A106,'Fütterung'!$E$7:$E$2006,"Ja")=0,"",_xlfn.MAXIFS('Fütterung'!$C$7:$C$2006,'Fütterung'!$A$7:$A$2006,A106,'Fütterung'!$E$7:$E$2006,"Ja")))</f>
        <v/>
      </c>
      <c r="Z106" s="67">
        <f>IF(Y106="","",TODAY()-Y106)</f>
        <v/>
      </c>
      <c r="AA106" s="65">
        <f>IF(A106="","",IF(AND(F106="männlich",H106="Adult"),"Adultes Männchen",IF(AND(Z106&lt;&gt;"",N(Z106)&gt;=FutterGrenze),"Frisst nicht",IF(U106="","Zu wenig Daten",IF(V106&gt;U106*TpM*FaktorUeber,"Überfällig",IF(V106&gt;U106*TpM*FaktorBald,"Fällig","Im Plan"))))))</f>
        <v/>
      </c>
      <c r="AB106" s="69">
        <f>IF(AND(AC106=1,W106&lt;&gt;""),N(W106)+ROW()/100000,"")</f>
        <v/>
      </c>
      <c r="AC106" s="69">
        <f>IF(A106="","",IF(SUBTOTAL(103,A106)=1,1,0))</f>
        <v/>
      </c>
    </row>
    <row r="107" ht="20" customHeight="1">
      <c r="A107" s="60" t="n"/>
      <c r="B107" s="61" t="n"/>
      <c r="C107" s="61" t="n"/>
      <c r="D107" s="61" t="n"/>
      <c r="E107" s="60" t="n"/>
      <c r="F107" s="60" t="n"/>
      <c r="G107" s="60" t="n"/>
      <c r="H107" s="60" t="n"/>
      <c r="I107" s="62" t="n"/>
      <c r="J107" s="63" t="n"/>
      <c r="K107" s="61" t="n"/>
      <c r="L107" s="64" t="n"/>
      <c r="M107" s="60" t="n"/>
      <c r="N107" s="60" t="n"/>
      <c r="O107" s="60" t="n"/>
      <c r="P107" s="61" t="n"/>
      <c r="Q107" s="61" t="n"/>
      <c r="R107" s="65">
        <f>IF(A107="","",TRIM(C107&amp;" "&amp;D107))</f>
        <v/>
      </c>
      <c r="S107" s="66">
        <f>IF(A107="","",IF(COUNTIFS('Häutungen'!$A$7:$A$1006,A107,'Häutungen'!$C$7:$C$1006,"&gt;0")=0,"",_xlfn.MAXIFS('Häutungen'!$C$7:$C$1006,'Häutungen'!$A$7:$A$1006,A107)))</f>
        <v/>
      </c>
      <c r="T107" s="67">
        <f>IF(A107="","",COUNTIFS('Häutungen'!$A$7:$A$1006,A107,'Häutungen'!$C$7:$C$1006,"&gt;0"))</f>
        <v/>
      </c>
      <c r="U107" s="68">
        <f>IF(A107="","",IF(T107&lt;2,"",IFERROR(AVERAGEIFS('Häutungen'!$J$7:$J$1006,'Häutungen'!$A$7:$A$1006,A107,'Häutungen'!$K$7:$K$1006,"&lt;3",'Häutungen'!$I$7:$I$1006,"&gt;0"),"")))</f>
        <v/>
      </c>
      <c r="V107" s="67">
        <f>IF(S107="","",TODAY()-S107)</f>
        <v/>
      </c>
      <c r="W107" s="66">
        <f>IF(OR(U107="",AND(F107="männlich",H107="Adult")),"",S107+ROUND(U107*TpM,0))</f>
        <v/>
      </c>
      <c r="X107" s="68">
        <f>IF(A107="","",IF(S107="",IF(I107="","",I107),IF(SUMIFS('Häutungen'!$D$7:$D$1006,'Häutungen'!$A$7:$A$1006,A107,'Häutungen'!$C$7:$C$1006,S107)&gt;0,SUMIFS('Häutungen'!$D$7:$D$1006,'Häutungen'!$A$7:$A$1006,A107,'Häutungen'!$C$7:$C$1006,S107),IF(I107="","",I107))))</f>
        <v/>
      </c>
      <c r="Y107" s="66">
        <f>IF(A107="","",IF(COUNTIFS('Fütterung'!$A$7:$A$2006,A107,'Fütterung'!$E$7:$E$2006,"Ja")=0,"",_xlfn.MAXIFS('Fütterung'!$C$7:$C$2006,'Fütterung'!$A$7:$A$2006,A107,'Fütterung'!$E$7:$E$2006,"Ja")))</f>
        <v/>
      </c>
      <c r="Z107" s="67">
        <f>IF(Y107="","",TODAY()-Y107)</f>
        <v/>
      </c>
      <c r="AA107" s="65">
        <f>IF(A107="","",IF(AND(F107="männlich",H107="Adult"),"Adultes Männchen",IF(AND(Z107&lt;&gt;"",N(Z107)&gt;=FutterGrenze),"Frisst nicht",IF(U107="","Zu wenig Daten",IF(V107&gt;U107*TpM*FaktorUeber,"Überfällig",IF(V107&gt;U107*TpM*FaktorBald,"Fällig","Im Plan"))))))</f>
        <v/>
      </c>
      <c r="AB107" s="69">
        <f>IF(AND(AC107=1,W107&lt;&gt;""),N(W107)+ROW()/100000,"")</f>
        <v/>
      </c>
      <c r="AC107" s="69">
        <f>IF(A107="","",IF(SUBTOTAL(103,A107)=1,1,0))</f>
        <v/>
      </c>
    </row>
    <row r="108" ht="20" customHeight="1">
      <c r="A108" s="60" t="n"/>
      <c r="B108" s="61" t="n"/>
      <c r="C108" s="61" t="n"/>
      <c r="D108" s="61" t="n"/>
      <c r="E108" s="60" t="n"/>
      <c r="F108" s="60" t="n"/>
      <c r="G108" s="60" t="n"/>
      <c r="H108" s="60" t="n"/>
      <c r="I108" s="62" t="n"/>
      <c r="J108" s="63" t="n"/>
      <c r="K108" s="61" t="n"/>
      <c r="L108" s="64" t="n"/>
      <c r="M108" s="60" t="n"/>
      <c r="N108" s="60" t="n"/>
      <c r="O108" s="60" t="n"/>
      <c r="P108" s="61" t="n"/>
      <c r="Q108" s="61" t="n"/>
      <c r="R108" s="65">
        <f>IF(A108="","",TRIM(C108&amp;" "&amp;D108))</f>
        <v/>
      </c>
      <c r="S108" s="66">
        <f>IF(A108="","",IF(COUNTIFS('Häutungen'!$A$7:$A$1006,A108,'Häutungen'!$C$7:$C$1006,"&gt;0")=0,"",_xlfn.MAXIFS('Häutungen'!$C$7:$C$1006,'Häutungen'!$A$7:$A$1006,A108)))</f>
        <v/>
      </c>
      <c r="T108" s="67">
        <f>IF(A108="","",COUNTIFS('Häutungen'!$A$7:$A$1006,A108,'Häutungen'!$C$7:$C$1006,"&gt;0"))</f>
        <v/>
      </c>
      <c r="U108" s="68">
        <f>IF(A108="","",IF(T108&lt;2,"",IFERROR(AVERAGEIFS('Häutungen'!$J$7:$J$1006,'Häutungen'!$A$7:$A$1006,A108,'Häutungen'!$K$7:$K$1006,"&lt;3",'Häutungen'!$I$7:$I$1006,"&gt;0"),"")))</f>
        <v/>
      </c>
      <c r="V108" s="67">
        <f>IF(S108="","",TODAY()-S108)</f>
        <v/>
      </c>
      <c r="W108" s="66">
        <f>IF(OR(U108="",AND(F108="männlich",H108="Adult")),"",S108+ROUND(U108*TpM,0))</f>
        <v/>
      </c>
      <c r="X108" s="68">
        <f>IF(A108="","",IF(S108="",IF(I108="","",I108),IF(SUMIFS('Häutungen'!$D$7:$D$1006,'Häutungen'!$A$7:$A$1006,A108,'Häutungen'!$C$7:$C$1006,S108)&gt;0,SUMIFS('Häutungen'!$D$7:$D$1006,'Häutungen'!$A$7:$A$1006,A108,'Häutungen'!$C$7:$C$1006,S108),IF(I108="","",I108))))</f>
        <v/>
      </c>
      <c r="Y108" s="66">
        <f>IF(A108="","",IF(COUNTIFS('Fütterung'!$A$7:$A$2006,A108,'Fütterung'!$E$7:$E$2006,"Ja")=0,"",_xlfn.MAXIFS('Fütterung'!$C$7:$C$2006,'Fütterung'!$A$7:$A$2006,A108,'Fütterung'!$E$7:$E$2006,"Ja")))</f>
        <v/>
      </c>
      <c r="Z108" s="67">
        <f>IF(Y108="","",TODAY()-Y108)</f>
        <v/>
      </c>
      <c r="AA108" s="65">
        <f>IF(A108="","",IF(AND(F108="männlich",H108="Adult"),"Adultes Männchen",IF(AND(Z108&lt;&gt;"",N(Z108)&gt;=FutterGrenze),"Frisst nicht",IF(U108="","Zu wenig Daten",IF(V108&gt;U108*TpM*FaktorUeber,"Überfällig",IF(V108&gt;U108*TpM*FaktorBald,"Fällig","Im Plan"))))))</f>
        <v/>
      </c>
      <c r="AB108" s="69">
        <f>IF(AND(AC108=1,W108&lt;&gt;""),N(W108)+ROW()/100000,"")</f>
        <v/>
      </c>
      <c r="AC108" s="69">
        <f>IF(A108="","",IF(SUBTOTAL(103,A108)=1,1,0))</f>
        <v/>
      </c>
    </row>
    <row r="109" ht="20" customHeight="1">
      <c r="A109" s="60" t="n"/>
      <c r="B109" s="61" t="n"/>
      <c r="C109" s="61" t="n"/>
      <c r="D109" s="61" t="n"/>
      <c r="E109" s="60" t="n"/>
      <c r="F109" s="60" t="n"/>
      <c r="G109" s="60" t="n"/>
      <c r="H109" s="60" t="n"/>
      <c r="I109" s="62" t="n"/>
      <c r="J109" s="63" t="n"/>
      <c r="K109" s="61" t="n"/>
      <c r="L109" s="64" t="n"/>
      <c r="M109" s="60" t="n"/>
      <c r="N109" s="60" t="n"/>
      <c r="O109" s="60" t="n"/>
      <c r="P109" s="61" t="n"/>
      <c r="Q109" s="61" t="n"/>
      <c r="R109" s="65">
        <f>IF(A109="","",TRIM(C109&amp;" "&amp;D109))</f>
        <v/>
      </c>
      <c r="S109" s="66">
        <f>IF(A109="","",IF(COUNTIFS('Häutungen'!$A$7:$A$1006,A109,'Häutungen'!$C$7:$C$1006,"&gt;0")=0,"",_xlfn.MAXIFS('Häutungen'!$C$7:$C$1006,'Häutungen'!$A$7:$A$1006,A109)))</f>
        <v/>
      </c>
      <c r="T109" s="67">
        <f>IF(A109="","",COUNTIFS('Häutungen'!$A$7:$A$1006,A109,'Häutungen'!$C$7:$C$1006,"&gt;0"))</f>
        <v/>
      </c>
      <c r="U109" s="68">
        <f>IF(A109="","",IF(T109&lt;2,"",IFERROR(AVERAGEIFS('Häutungen'!$J$7:$J$1006,'Häutungen'!$A$7:$A$1006,A109,'Häutungen'!$K$7:$K$1006,"&lt;3",'Häutungen'!$I$7:$I$1006,"&gt;0"),"")))</f>
        <v/>
      </c>
      <c r="V109" s="67">
        <f>IF(S109="","",TODAY()-S109)</f>
        <v/>
      </c>
      <c r="W109" s="66">
        <f>IF(OR(U109="",AND(F109="männlich",H109="Adult")),"",S109+ROUND(U109*TpM,0))</f>
        <v/>
      </c>
      <c r="X109" s="68">
        <f>IF(A109="","",IF(S109="",IF(I109="","",I109),IF(SUMIFS('Häutungen'!$D$7:$D$1006,'Häutungen'!$A$7:$A$1006,A109,'Häutungen'!$C$7:$C$1006,S109)&gt;0,SUMIFS('Häutungen'!$D$7:$D$1006,'Häutungen'!$A$7:$A$1006,A109,'Häutungen'!$C$7:$C$1006,S109),IF(I109="","",I109))))</f>
        <v/>
      </c>
      <c r="Y109" s="66">
        <f>IF(A109="","",IF(COUNTIFS('Fütterung'!$A$7:$A$2006,A109,'Fütterung'!$E$7:$E$2006,"Ja")=0,"",_xlfn.MAXIFS('Fütterung'!$C$7:$C$2006,'Fütterung'!$A$7:$A$2006,A109,'Fütterung'!$E$7:$E$2006,"Ja")))</f>
        <v/>
      </c>
      <c r="Z109" s="67">
        <f>IF(Y109="","",TODAY()-Y109)</f>
        <v/>
      </c>
      <c r="AA109" s="65">
        <f>IF(A109="","",IF(AND(F109="männlich",H109="Adult"),"Adultes Männchen",IF(AND(Z109&lt;&gt;"",N(Z109)&gt;=FutterGrenze),"Frisst nicht",IF(U109="","Zu wenig Daten",IF(V109&gt;U109*TpM*FaktorUeber,"Überfällig",IF(V109&gt;U109*TpM*FaktorBald,"Fällig","Im Plan"))))))</f>
        <v/>
      </c>
      <c r="AB109" s="69">
        <f>IF(AND(AC109=1,W109&lt;&gt;""),N(W109)+ROW()/100000,"")</f>
        <v/>
      </c>
      <c r="AC109" s="69">
        <f>IF(A109="","",IF(SUBTOTAL(103,A109)=1,1,0))</f>
        <v/>
      </c>
    </row>
    <row r="110" ht="20" customHeight="1">
      <c r="A110" s="60" t="n"/>
      <c r="B110" s="61" t="n"/>
      <c r="C110" s="61" t="n"/>
      <c r="D110" s="61" t="n"/>
      <c r="E110" s="60" t="n"/>
      <c r="F110" s="60" t="n"/>
      <c r="G110" s="60" t="n"/>
      <c r="H110" s="60" t="n"/>
      <c r="I110" s="62" t="n"/>
      <c r="J110" s="63" t="n"/>
      <c r="K110" s="61" t="n"/>
      <c r="L110" s="64" t="n"/>
      <c r="M110" s="60" t="n"/>
      <c r="N110" s="60" t="n"/>
      <c r="O110" s="60" t="n"/>
      <c r="P110" s="61" t="n"/>
      <c r="Q110" s="61" t="n"/>
      <c r="R110" s="65">
        <f>IF(A110="","",TRIM(C110&amp;" "&amp;D110))</f>
        <v/>
      </c>
      <c r="S110" s="66">
        <f>IF(A110="","",IF(COUNTIFS('Häutungen'!$A$7:$A$1006,A110,'Häutungen'!$C$7:$C$1006,"&gt;0")=0,"",_xlfn.MAXIFS('Häutungen'!$C$7:$C$1006,'Häutungen'!$A$7:$A$1006,A110)))</f>
        <v/>
      </c>
      <c r="T110" s="67">
        <f>IF(A110="","",COUNTIFS('Häutungen'!$A$7:$A$1006,A110,'Häutungen'!$C$7:$C$1006,"&gt;0"))</f>
        <v/>
      </c>
      <c r="U110" s="68">
        <f>IF(A110="","",IF(T110&lt;2,"",IFERROR(AVERAGEIFS('Häutungen'!$J$7:$J$1006,'Häutungen'!$A$7:$A$1006,A110,'Häutungen'!$K$7:$K$1006,"&lt;3",'Häutungen'!$I$7:$I$1006,"&gt;0"),"")))</f>
        <v/>
      </c>
      <c r="V110" s="67">
        <f>IF(S110="","",TODAY()-S110)</f>
        <v/>
      </c>
      <c r="W110" s="66">
        <f>IF(OR(U110="",AND(F110="männlich",H110="Adult")),"",S110+ROUND(U110*TpM,0))</f>
        <v/>
      </c>
      <c r="X110" s="68">
        <f>IF(A110="","",IF(S110="",IF(I110="","",I110),IF(SUMIFS('Häutungen'!$D$7:$D$1006,'Häutungen'!$A$7:$A$1006,A110,'Häutungen'!$C$7:$C$1006,S110)&gt;0,SUMIFS('Häutungen'!$D$7:$D$1006,'Häutungen'!$A$7:$A$1006,A110,'Häutungen'!$C$7:$C$1006,S110),IF(I110="","",I110))))</f>
        <v/>
      </c>
      <c r="Y110" s="66">
        <f>IF(A110="","",IF(COUNTIFS('Fütterung'!$A$7:$A$2006,A110,'Fütterung'!$E$7:$E$2006,"Ja")=0,"",_xlfn.MAXIFS('Fütterung'!$C$7:$C$2006,'Fütterung'!$A$7:$A$2006,A110,'Fütterung'!$E$7:$E$2006,"Ja")))</f>
        <v/>
      </c>
      <c r="Z110" s="67">
        <f>IF(Y110="","",TODAY()-Y110)</f>
        <v/>
      </c>
      <c r="AA110" s="65">
        <f>IF(A110="","",IF(AND(F110="männlich",H110="Adult"),"Adultes Männchen",IF(AND(Z110&lt;&gt;"",N(Z110)&gt;=FutterGrenze),"Frisst nicht",IF(U110="","Zu wenig Daten",IF(V110&gt;U110*TpM*FaktorUeber,"Überfällig",IF(V110&gt;U110*TpM*FaktorBald,"Fällig","Im Plan"))))))</f>
        <v/>
      </c>
      <c r="AB110" s="69">
        <f>IF(AND(AC110=1,W110&lt;&gt;""),N(W110)+ROW()/100000,"")</f>
        <v/>
      </c>
      <c r="AC110" s="69">
        <f>IF(A110="","",IF(SUBTOTAL(103,A110)=1,1,0))</f>
        <v/>
      </c>
    </row>
    <row r="111" ht="20" customHeight="1">
      <c r="A111" s="60" t="n"/>
      <c r="B111" s="61" t="n"/>
      <c r="C111" s="61" t="n"/>
      <c r="D111" s="61" t="n"/>
      <c r="E111" s="60" t="n"/>
      <c r="F111" s="60" t="n"/>
      <c r="G111" s="60" t="n"/>
      <c r="H111" s="60" t="n"/>
      <c r="I111" s="62" t="n"/>
      <c r="J111" s="63" t="n"/>
      <c r="K111" s="61" t="n"/>
      <c r="L111" s="64" t="n"/>
      <c r="M111" s="60" t="n"/>
      <c r="N111" s="60" t="n"/>
      <c r="O111" s="60" t="n"/>
      <c r="P111" s="61" t="n"/>
      <c r="Q111" s="61" t="n"/>
      <c r="R111" s="65">
        <f>IF(A111="","",TRIM(C111&amp;" "&amp;D111))</f>
        <v/>
      </c>
      <c r="S111" s="66">
        <f>IF(A111="","",IF(COUNTIFS('Häutungen'!$A$7:$A$1006,A111,'Häutungen'!$C$7:$C$1006,"&gt;0")=0,"",_xlfn.MAXIFS('Häutungen'!$C$7:$C$1006,'Häutungen'!$A$7:$A$1006,A111)))</f>
        <v/>
      </c>
      <c r="T111" s="67">
        <f>IF(A111="","",COUNTIFS('Häutungen'!$A$7:$A$1006,A111,'Häutungen'!$C$7:$C$1006,"&gt;0"))</f>
        <v/>
      </c>
      <c r="U111" s="68">
        <f>IF(A111="","",IF(T111&lt;2,"",IFERROR(AVERAGEIFS('Häutungen'!$J$7:$J$1006,'Häutungen'!$A$7:$A$1006,A111,'Häutungen'!$K$7:$K$1006,"&lt;3",'Häutungen'!$I$7:$I$1006,"&gt;0"),"")))</f>
        <v/>
      </c>
      <c r="V111" s="67">
        <f>IF(S111="","",TODAY()-S111)</f>
        <v/>
      </c>
      <c r="W111" s="66">
        <f>IF(OR(U111="",AND(F111="männlich",H111="Adult")),"",S111+ROUND(U111*TpM,0))</f>
        <v/>
      </c>
      <c r="X111" s="68">
        <f>IF(A111="","",IF(S111="",IF(I111="","",I111),IF(SUMIFS('Häutungen'!$D$7:$D$1006,'Häutungen'!$A$7:$A$1006,A111,'Häutungen'!$C$7:$C$1006,S111)&gt;0,SUMIFS('Häutungen'!$D$7:$D$1006,'Häutungen'!$A$7:$A$1006,A111,'Häutungen'!$C$7:$C$1006,S111),IF(I111="","",I111))))</f>
        <v/>
      </c>
      <c r="Y111" s="66">
        <f>IF(A111="","",IF(COUNTIFS('Fütterung'!$A$7:$A$2006,A111,'Fütterung'!$E$7:$E$2006,"Ja")=0,"",_xlfn.MAXIFS('Fütterung'!$C$7:$C$2006,'Fütterung'!$A$7:$A$2006,A111,'Fütterung'!$E$7:$E$2006,"Ja")))</f>
        <v/>
      </c>
      <c r="Z111" s="67">
        <f>IF(Y111="","",TODAY()-Y111)</f>
        <v/>
      </c>
      <c r="AA111" s="65">
        <f>IF(A111="","",IF(AND(F111="männlich",H111="Adult"),"Adultes Männchen",IF(AND(Z111&lt;&gt;"",N(Z111)&gt;=FutterGrenze),"Frisst nicht",IF(U111="","Zu wenig Daten",IF(V111&gt;U111*TpM*FaktorUeber,"Überfällig",IF(V111&gt;U111*TpM*FaktorBald,"Fällig","Im Plan"))))))</f>
        <v/>
      </c>
      <c r="AB111" s="69">
        <f>IF(AND(AC111=1,W111&lt;&gt;""),N(W111)+ROW()/100000,"")</f>
        <v/>
      </c>
      <c r="AC111" s="69">
        <f>IF(A111="","",IF(SUBTOTAL(103,A111)=1,1,0))</f>
        <v/>
      </c>
    </row>
    <row r="112" ht="20" customHeight="1">
      <c r="A112" s="60" t="n"/>
      <c r="B112" s="61" t="n"/>
      <c r="C112" s="61" t="n"/>
      <c r="D112" s="61" t="n"/>
      <c r="E112" s="60" t="n"/>
      <c r="F112" s="60" t="n"/>
      <c r="G112" s="60" t="n"/>
      <c r="H112" s="60" t="n"/>
      <c r="I112" s="62" t="n"/>
      <c r="J112" s="63" t="n"/>
      <c r="K112" s="61" t="n"/>
      <c r="L112" s="64" t="n"/>
      <c r="M112" s="60" t="n"/>
      <c r="N112" s="60" t="n"/>
      <c r="O112" s="60" t="n"/>
      <c r="P112" s="61" t="n"/>
      <c r="Q112" s="61" t="n"/>
      <c r="R112" s="65">
        <f>IF(A112="","",TRIM(C112&amp;" "&amp;D112))</f>
        <v/>
      </c>
      <c r="S112" s="66">
        <f>IF(A112="","",IF(COUNTIFS('Häutungen'!$A$7:$A$1006,A112,'Häutungen'!$C$7:$C$1006,"&gt;0")=0,"",_xlfn.MAXIFS('Häutungen'!$C$7:$C$1006,'Häutungen'!$A$7:$A$1006,A112)))</f>
        <v/>
      </c>
      <c r="T112" s="67">
        <f>IF(A112="","",COUNTIFS('Häutungen'!$A$7:$A$1006,A112,'Häutungen'!$C$7:$C$1006,"&gt;0"))</f>
        <v/>
      </c>
      <c r="U112" s="68">
        <f>IF(A112="","",IF(T112&lt;2,"",IFERROR(AVERAGEIFS('Häutungen'!$J$7:$J$1006,'Häutungen'!$A$7:$A$1006,A112,'Häutungen'!$K$7:$K$1006,"&lt;3",'Häutungen'!$I$7:$I$1006,"&gt;0"),"")))</f>
        <v/>
      </c>
      <c r="V112" s="67">
        <f>IF(S112="","",TODAY()-S112)</f>
        <v/>
      </c>
      <c r="W112" s="66">
        <f>IF(OR(U112="",AND(F112="männlich",H112="Adult")),"",S112+ROUND(U112*TpM,0))</f>
        <v/>
      </c>
      <c r="X112" s="68">
        <f>IF(A112="","",IF(S112="",IF(I112="","",I112),IF(SUMIFS('Häutungen'!$D$7:$D$1006,'Häutungen'!$A$7:$A$1006,A112,'Häutungen'!$C$7:$C$1006,S112)&gt;0,SUMIFS('Häutungen'!$D$7:$D$1006,'Häutungen'!$A$7:$A$1006,A112,'Häutungen'!$C$7:$C$1006,S112),IF(I112="","",I112))))</f>
        <v/>
      </c>
      <c r="Y112" s="66">
        <f>IF(A112="","",IF(COUNTIFS('Fütterung'!$A$7:$A$2006,A112,'Fütterung'!$E$7:$E$2006,"Ja")=0,"",_xlfn.MAXIFS('Fütterung'!$C$7:$C$2006,'Fütterung'!$A$7:$A$2006,A112,'Fütterung'!$E$7:$E$2006,"Ja")))</f>
        <v/>
      </c>
      <c r="Z112" s="67">
        <f>IF(Y112="","",TODAY()-Y112)</f>
        <v/>
      </c>
      <c r="AA112" s="65">
        <f>IF(A112="","",IF(AND(F112="männlich",H112="Adult"),"Adultes Männchen",IF(AND(Z112&lt;&gt;"",N(Z112)&gt;=FutterGrenze),"Frisst nicht",IF(U112="","Zu wenig Daten",IF(V112&gt;U112*TpM*FaktorUeber,"Überfällig",IF(V112&gt;U112*TpM*FaktorBald,"Fällig","Im Plan"))))))</f>
        <v/>
      </c>
      <c r="AB112" s="69">
        <f>IF(AND(AC112=1,W112&lt;&gt;""),N(W112)+ROW()/100000,"")</f>
        <v/>
      </c>
      <c r="AC112" s="69">
        <f>IF(A112="","",IF(SUBTOTAL(103,A112)=1,1,0))</f>
        <v/>
      </c>
    </row>
    <row r="113" ht="20" customHeight="1">
      <c r="A113" s="60" t="n"/>
      <c r="B113" s="61" t="n"/>
      <c r="C113" s="61" t="n"/>
      <c r="D113" s="61" t="n"/>
      <c r="E113" s="60" t="n"/>
      <c r="F113" s="60" t="n"/>
      <c r="G113" s="60" t="n"/>
      <c r="H113" s="60" t="n"/>
      <c r="I113" s="62" t="n"/>
      <c r="J113" s="63" t="n"/>
      <c r="K113" s="61" t="n"/>
      <c r="L113" s="64" t="n"/>
      <c r="M113" s="60" t="n"/>
      <c r="N113" s="60" t="n"/>
      <c r="O113" s="60" t="n"/>
      <c r="P113" s="61" t="n"/>
      <c r="Q113" s="61" t="n"/>
      <c r="R113" s="65">
        <f>IF(A113="","",TRIM(C113&amp;" "&amp;D113))</f>
        <v/>
      </c>
      <c r="S113" s="66">
        <f>IF(A113="","",IF(COUNTIFS('Häutungen'!$A$7:$A$1006,A113,'Häutungen'!$C$7:$C$1006,"&gt;0")=0,"",_xlfn.MAXIFS('Häutungen'!$C$7:$C$1006,'Häutungen'!$A$7:$A$1006,A113)))</f>
        <v/>
      </c>
      <c r="T113" s="67">
        <f>IF(A113="","",COUNTIFS('Häutungen'!$A$7:$A$1006,A113,'Häutungen'!$C$7:$C$1006,"&gt;0"))</f>
        <v/>
      </c>
      <c r="U113" s="68">
        <f>IF(A113="","",IF(T113&lt;2,"",IFERROR(AVERAGEIFS('Häutungen'!$J$7:$J$1006,'Häutungen'!$A$7:$A$1006,A113,'Häutungen'!$K$7:$K$1006,"&lt;3",'Häutungen'!$I$7:$I$1006,"&gt;0"),"")))</f>
        <v/>
      </c>
      <c r="V113" s="67">
        <f>IF(S113="","",TODAY()-S113)</f>
        <v/>
      </c>
      <c r="W113" s="66">
        <f>IF(OR(U113="",AND(F113="männlich",H113="Adult")),"",S113+ROUND(U113*TpM,0))</f>
        <v/>
      </c>
      <c r="X113" s="68">
        <f>IF(A113="","",IF(S113="",IF(I113="","",I113),IF(SUMIFS('Häutungen'!$D$7:$D$1006,'Häutungen'!$A$7:$A$1006,A113,'Häutungen'!$C$7:$C$1006,S113)&gt;0,SUMIFS('Häutungen'!$D$7:$D$1006,'Häutungen'!$A$7:$A$1006,A113,'Häutungen'!$C$7:$C$1006,S113),IF(I113="","",I113))))</f>
        <v/>
      </c>
      <c r="Y113" s="66">
        <f>IF(A113="","",IF(COUNTIFS('Fütterung'!$A$7:$A$2006,A113,'Fütterung'!$E$7:$E$2006,"Ja")=0,"",_xlfn.MAXIFS('Fütterung'!$C$7:$C$2006,'Fütterung'!$A$7:$A$2006,A113,'Fütterung'!$E$7:$E$2006,"Ja")))</f>
        <v/>
      </c>
      <c r="Z113" s="67">
        <f>IF(Y113="","",TODAY()-Y113)</f>
        <v/>
      </c>
      <c r="AA113" s="65">
        <f>IF(A113="","",IF(AND(F113="männlich",H113="Adult"),"Adultes Männchen",IF(AND(Z113&lt;&gt;"",N(Z113)&gt;=FutterGrenze),"Frisst nicht",IF(U113="","Zu wenig Daten",IF(V113&gt;U113*TpM*FaktorUeber,"Überfällig",IF(V113&gt;U113*TpM*FaktorBald,"Fällig","Im Plan"))))))</f>
        <v/>
      </c>
      <c r="AB113" s="69">
        <f>IF(AND(AC113=1,W113&lt;&gt;""),N(W113)+ROW()/100000,"")</f>
        <v/>
      </c>
      <c r="AC113" s="69">
        <f>IF(A113="","",IF(SUBTOTAL(103,A113)=1,1,0))</f>
        <v/>
      </c>
    </row>
    <row r="114" ht="20" customHeight="1">
      <c r="A114" s="60" t="n"/>
      <c r="B114" s="61" t="n"/>
      <c r="C114" s="61" t="n"/>
      <c r="D114" s="61" t="n"/>
      <c r="E114" s="60" t="n"/>
      <c r="F114" s="60" t="n"/>
      <c r="G114" s="60" t="n"/>
      <c r="H114" s="60" t="n"/>
      <c r="I114" s="62" t="n"/>
      <c r="J114" s="63" t="n"/>
      <c r="K114" s="61" t="n"/>
      <c r="L114" s="64" t="n"/>
      <c r="M114" s="60" t="n"/>
      <c r="N114" s="60" t="n"/>
      <c r="O114" s="60" t="n"/>
      <c r="P114" s="61" t="n"/>
      <c r="Q114" s="61" t="n"/>
      <c r="R114" s="65">
        <f>IF(A114="","",TRIM(C114&amp;" "&amp;D114))</f>
        <v/>
      </c>
      <c r="S114" s="66">
        <f>IF(A114="","",IF(COUNTIFS('Häutungen'!$A$7:$A$1006,A114,'Häutungen'!$C$7:$C$1006,"&gt;0")=0,"",_xlfn.MAXIFS('Häutungen'!$C$7:$C$1006,'Häutungen'!$A$7:$A$1006,A114)))</f>
        <v/>
      </c>
      <c r="T114" s="67">
        <f>IF(A114="","",COUNTIFS('Häutungen'!$A$7:$A$1006,A114,'Häutungen'!$C$7:$C$1006,"&gt;0"))</f>
        <v/>
      </c>
      <c r="U114" s="68">
        <f>IF(A114="","",IF(T114&lt;2,"",IFERROR(AVERAGEIFS('Häutungen'!$J$7:$J$1006,'Häutungen'!$A$7:$A$1006,A114,'Häutungen'!$K$7:$K$1006,"&lt;3",'Häutungen'!$I$7:$I$1006,"&gt;0"),"")))</f>
        <v/>
      </c>
      <c r="V114" s="67">
        <f>IF(S114="","",TODAY()-S114)</f>
        <v/>
      </c>
      <c r="W114" s="66">
        <f>IF(OR(U114="",AND(F114="männlich",H114="Adult")),"",S114+ROUND(U114*TpM,0))</f>
        <v/>
      </c>
      <c r="X114" s="68">
        <f>IF(A114="","",IF(S114="",IF(I114="","",I114),IF(SUMIFS('Häutungen'!$D$7:$D$1006,'Häutungen'!$A$7:$A$1006,A114,'Häutungen'!$C$7:$C$1006,S114)&gt;0,SUMIFS('Häutungen'!$D$7:$D$1006,'Häutungen'!$A$7:$A$1006,A114,'Häutungen'!$C$7:$C$1006,S114),IF(I114="","",I114))))</f>
        <v/>
      </c>
      <c r="Y114" s="66">
        <f>IF(A114="","",IF(COUNTIFS('Fütterung'!$A$7:$A$2006,A114,'Fütterung'!$E$7:$E$2006,"Ja")=0,"",_xlfn.MAXIFS('Fütterung'!$C$7:$C$2006,'Fütterung'!$A$7:$A$2006,A114,'Fütterung'!$E$7:$E$2006,"Ja")))</f>
        <v/>
      </c>
      <c r="Z114" s="67">
        <f>IF(Y114="","",TODAY()-Y114)</f>
        <v/>
      </c>
      <c r="AA114" s="65">
        <f>IF(A114="","",IF(AND(F114="männlich",H114="Adult"),"Adultes Männchen",IF(AND(Z114&lt;&gt;"",N(Z114)&gt;=FutterGrenze),"Frisst nicht",IF(U114="","Zu wenig Daten",IF(V114&gt;U114*TpM*FaktorUeber,"Überfällig",IF(V114&gt;U114*TpM*FaktorBald,"Fällig","Im Plan"))))))</f>
        <v/>
      </c>
      <c r="AB114" s="69">
        <f>IF(AND(AC114=1,W114&lt;&gt;""),N(W114)+ROW()/100000,"")</f>
        <v/>
      </c>
      <c r="AC114" s="69">
        <f>IF(A114="","",IF(SUBTOTAL(103,A114)=1,1,0))</f>
        <v/>
      </c>
    </row>
    <row r="115" ht="20" customHeight="1">
      <c r="A115" s="60" t="n"/>
      <c r="B115" s="61" t="n"/>
      <c r="C115" s="61" t="n"/>
      <c r="D115" s="61" t="n"/>
      <c r="E115" s="60" t="n"/>
      <c r="F115" s="60" t="n"/>
      <c r="G115" s="60" t="n"/>
      <c r="H115" s="60" t="n"/>
      <c r="I115" s="62" t="n"/>
      <c r="J115" s="63" t="n"/>
      <c r="K115" s="61" t="n"/>
      <c r="L115" s="64" t="n"/>
      <c r="M115" s="60" t="n"/>
      <c r="N115" s="60" t="n"/>
      <c r="O115" s="60" t="n"/>
      <c r="P115" s="61" t="n"/>
      <c r="Q115" s="61" t="n"/>
      <c r="R115" s="65">
        <f>IF(A115="","",TRIM(C115&amp;" "&amp;D115))</f>
        <v/>
      </c>
      <c r="S115" s="66">
        <f>IF(A115="","",IF(COUNTIFS('Häutungen'!$A$7:$A$1006,A115,'Häutungen'!$C$7:$C$1006,"&gt;0")=0,"",_xlfn.MAXIFS('Häutungen'!$C$7:$C$1006,'Häutungen'!$A$7:$A$1006,A115)))</f>
        <v/>
      </c>
      <c r="T115" s="67">
        <f>IF(A115="","",COUNTIFS('Häutungen'!$A$7:$A$1006,A115,'Häutungen'!$C$7:$C$1006,"&gt;0"))</f>
        <v/>
      </c>
      <c r="U115" s="68">
        <f>IF(A115="","",IF(T115&lt;2,"",IFERROR(AVERAGEIFS('Häutungen'!$J$7:$J$1006,'Häutungen'!$A$7:$A$1006,A115,'Häutungen'!$K$7:$K$1006,"&lt;3",'Häutungen'!$I$7:$I$1006,"&gt;0"),"")))</f>
        <v/>
      </c>
      <c r="V115" s="67">
        <f>IF(S115="","",TODAY()-S115)</f>
        <v/>
      </c>
      <c r="W115" s="66">
        <f>IF(OR(U115="",AND(F115="männlich",H115="Adult")),"",S115+ROUND(U115*TpM,0))</f>
        <v/>
      </c>
      <c r="X115" s="68">
        <f>IF(A115="","",IF(S115="",IF(I115="","",I115),IF(SUMIFS('Häutungen'!$D$7:$D$1006,'Häutungen'!$A$7:$A$1006,A115,'Häutungen'!$C$7:$C$1006,S115)&gt;0,SUMIFS('Häutungen'!$D$7:$D$1006,'Häutungen'!$A$7:$A$1006,A115,'Häutungen'!$C$7:$C$1006,S115),IF(I115="","",I115))))</f>
        <v/>
      </c>
      <c r="Y115" s="66">
        <f>IF(A115="","",IF(COUNTIFS('Fütterung'!$A$7:$A$2006,A115,'Fütterung'!$E$7:$E$2006,"Ja")=0,"",_xlfn.MAXIFS('Fütterung'!$C$7:$C$2006,'Fütterung'!$A$7:$A$2006,A115,'Fütterung'!$E$7:$E$2006,"Ja")))</f>
        <v/>
      </c>
      <c r="Z115" s="67">
        <f>IF(Y115="","",TODAY()-Y115)</f>
        <v/>
      </c>
      <c r="AA115" s="65">
        <f>IF(A115="","",IF(AND(F115="männlich",H115="Adult"),"Adultes Männchen",IF(AND(Z115&lt;&gt;"",N(Z115)&gt;=FutterGrenze),"Frisst nicht",IF(U115="","Zu wenig Daten",IF(V115&gt;U115*TpM*FaktorUeber,"Überfällig",IF(V115&gt;U115*TpM*FaktorBald,"Fällig","Im Plan"))))))</f>
        <v/>
      </c>
      <c r="AB115" s="69">
        <f>IF(AND(AC115=1,W115&lt;&gt;""),N(W115)+ROW()/100000,"")</f>
        <v/>
      </c>
      <c r="AC115" s="69">
        <f>IF(A115="","",IF(SUBTOTAL(103,A115)=1,1,0))</f>
        <v/>
      </c>
    </row>
    <row r="116" ht="20" customHeight="1">
      <c r="A116" s="60" t="n"/>
      <c r="B116" s="61" t="n"/>
      <c r="C116" s="61" t="n"/>
      <c r="D116" s="61" t="n"/>
      <c r="E116" s="60" t="n"/>
      <c r="F116" s="60" t="n"/>
      <c r="G116" s="60" t="n"/>
      <c r="H116" s="60" t="n"/>
      <c r="I116" s="62" t="n"/>
      <c r="J116" s="63" t="n"/>
      <c r="K116" s="61" t="n"/>
      <c r="L116" s="64" t="n"/>
      <c r="M116" s="60" t="n"/>
      <c r="N116" s="60" t="n"/>
      <c r="O116" s="60" t="n"/>
      <c r="P116" s="61" t="n"/>
      <c r="Q116" s="61" t="n"/>
      <c r="R116" s="65">
        <f>IF(A116="","",TRIM(C116&amp;" "&amp;D116))</f>
        <v/>
      </c>
      <c r="S116" s="66">
        <f>IF(A116="","",IF(COUNTIFS('Häutungen'!$A$7:$A$1006,A116,'Häutungen'!$C$7:$C$1006,"&gt;0")=0,"",_xlfn.MAXIFS('Häutungen'!$C$7:$C$1006,'Häutungen'!$A$7:$A$1006,A116)))</f>
        <v/>
      </c>
      <c r="T116" s="67">
        <f>IF(A116="","",COUNTIFS('Häutungen'!$A$7:$A$1006,A116,'Häutungen'!$C$7:$C$1006,"&gt;0"))</f>
        <v/>
      </c>
      <c r="U116" s="68">
        <f>IF(A116="","",IF(T116&lt;2,"",IFERROR(AVERAGEIFS('Häutungen'!$J$7:$J$1006,'Häutungen'!$A$7:$A$1006,A116,'Häutungen'!$K$7:$K$1006,"&lt;3",'Häutungen'!$I$7:$I$1006,"&gt;0"),"")))</f>
        <v/>
      </c>
      <c r="V116" s="67">
        <f>IF(S116="","",TODAY()-S116)</f>
        <v/>
      </c>
      <c r="W116" s="66">
        <f>IF(OR(U116="",AND(F116="männlich",H116="Adult")),"",S116+ROUND(U116*TpM,0))</f>
        <v/>
      </c>
      <c r="X116" s="68">
        <f>IF(A116="","",IF(S116="",IF(I116="","",I116),IF(SUMIFS('Häutungen'!$D$7:$D$1006,'Häutungen'!$A$7:$A$1006,A116,'Häutungen'!$C$7:$C$1006,S116)&gt;0,SUMIFS('Häutungen'!$D$7:$D$1006,'Häutungen'!$A$7:$A$1006,A116,'Häutungen'!$C$7:$C$1006,S116),IF(I116="","",I116))))</f>
        <v/>
      </c>
      <c r="Y116" s="66">
        <f>IF(A116="","",IF(COUNTIFS('Fütterung'!$A$7:$A$2006,A116,'Fütterung'!$E$7:$E$2006,"Ja")=0,"",_xlfn.MAXIFS('Fütterung'!$C$7:$C$2006,'Fütterung'!$A$7:$A$2006,A116,'Fütterung'!$E$7:$E$2006,"Ja")))</f>
        <v/>
      </c>
      <c r="Z116" s="67">
        <f>IF(Y116="","",TODAY()-Y116)</f>
        <v/>
      </c>
      <c r="AA116" s="65">
        <f>IF(A116="","",IF(AND(F116="männlich",H116="Adult"),"Adultes Männchen",IF(AND(Z116&lt;&gt;"",N(Z116)&gt;=FutterGrenze),"Frisst nicht",IF(U116="","Zu wenig Daten",IF(V116&gt;U116*TpM*FaktorUeber,"Überfällig",IF(V116&gt;U116*TpM*FaktorBald,"Fällig","Im Plan"))))))</f>
        <v/>
      </c>
      <c r="AB116" s="69">
        <f>IF(AND(AC116=1,W116&lt;&gt;""),N(W116)+ROW()/100000,"")</f>
        <v/>
      </c>
      <c r="AC116" s="69">
        <f>IF(A116="","",IF(SUBTOTAL(103,A116)=1,1,0))</f>
        <v/>
      </c>
    </row>
    <row r="117" ht="20" customHeight="1">
      <c r="A117" s="60" t="n"/>
      <c r="B117" s="61" t="n"/>
      <c r="C117" s="61" t="n"/>
      <c r="D117" s="61" t="n"/>
      <c r="E117" s="60" t="n"/>
      <c r="F117" s="60" t="n"/>
      <c r="G117" s="60" t="n"/>
      <c r="H117" s="60" t="n"/>
      <c r="I117" s="62" t="n"/>
      <c r="J117" s="63" t="n"/>
      <c r="K117" s="61" t="n"/>
      <c r="L117" s="64" t="n"/>
      <c r="M117" s="60" t="n"/>
      <c r="N117" s="60" t="n"/>
      <c r="O117" s="60" t="n"/>
      <c r="P117" s="61" t="n"/>
      <c r="Q117" s="61" t="n"/>
      <c r="R117" s="65">
        <f>IF(A117="","",TRIM(C117&amp;" "&amp;D117))</f>
        <v/>
      </c>
      <c r="S117" s="66">
        <f>IF(A117="","",IF(COUNTIFS('Häutungen'!$A$7:$A$1006,A117,'Häutungen'!$C$7:$C$1006,"&gt;0")=0,"",_xlfn.MAXIFS('Häutungen'!$C$7:$C$1006,'Häutungen'!$A$7:$A$1006,A117)))</f>
        <v/>
      </c>
      <c r="T117" s="67">
        <f>IF(A117="","",COUNTIFS('Häutungen'!$A$7:$A$1006,A117,'Häutungen'!$C$7:$C$1006,"&gt;0"))</f>
        <v/>
      </c>
      <c r="U117" s="68">
        <f>IF(A117="","",IF(T117&lt;2,"",IFERROR(AVERAGEIFS('Häutungen'!$J$7:$J$1006,'Häutungen'!$A$7:$A$1006,A117,'Häutungen'!$K$7:$K$1006,"&lt;3",'Häutungen'!$I$7:$I$1006,"&gt;0"),"")))</f>
        <v/>
      </c>
      <c r="V117" s="67">
        <f>IF(S117="","",TODAY()-S117)</f>
        <v/>
      </c>
      <c r="W117" s="66">
        <f>IF(OR(U117="",AND(F117="männlich",H117="Adult")),"",S117+ROUND(U117*TpM,0))</f>
        <v/>
      </c>
      <c r="X117" s="68">
        <f>IF(A117="","",IF(S117="",IF(I117="","",I117),IF(SUMIFS('Häutungen'!$D$7:$D$1006,'Häutungen'!$A$7:$A$1006,A117,'Häutungen'!$C$7:$C$1006,S117)&gt;0,SUMIFS('Häutungen'!$D$7:$D$1006,'Häutungen'!$A$7:$A$1006,A117,'Häutungen'!$C$7:$C$1006,S117),IF(I117="","",I117))))</f>
        <v/>
      </c>
      <c r="Y117" s="66">
        <f>IF(A117="","",IF(COUNTIFS('Fütterung'!$A$7:$A$2006,A117,'Fütterung'!$E$7:$E$2006,"Ja")=0,"",_xlfn.MAXIFS('Fütterung'!$C$7:$C$2006,'Fütterung'!$A$7:$A$2006,A117,'Fütterung'!$E$7:$E$2006,"Ja")))</f>
        <v/>
      </c>
      <c r="Z117" s="67">
        <f>IF(Y117="","",TODAY()-Y117)</f>
        <v/>
      </c>
      <c r="AA117" s="65">
        <f>IF(A117="","",IF(AND(F117="männlich",H117="Adult"),"Adultes Männchen",IF(AND(Z117&lt;&gt;"",N(Z117)&gt;=FutterGrenze),"Frisst nicht",IF(U117="","Zu wenig Daten",IF(V117&gt;U117*TpM*FaktorUeber,"Überfällig",IF(V117&gt;U117*TpM*FaktorBald,"Fällig","Im Plan"))))))</f>
        <v/>
      </c>
      <c r="AB117" s="69">
        <f>IF(AND(AC117=1,W117&lt;&gt;""),N(W117)+ROW()/100000,"")</f>
        <v/>
      </c>
      <c r="AC117" s="69">
        <f>IF(A117="","",IF(SUBTOTAL(103,A117)=1,1,0))</f>
        <v/>
      </c>
    </row>
    <row r="118" ht="20" customHeight="1">
      <c r="A118" s="60" t="n"/>
      <c r="B118" s="61" t="n"/>
      <c r="C118" s="61" t="n"/>
      <c r="D118" s="61" t="n"/>
      <c r="E118" s="60" t="n"/>
      <c r="F118" s="60" t="n"/>
      <c r="G118" s="60" t="n"/>
      <c r="H118" s="60" t="n"/>
      <c r="I118" s="62" t="n"/>
      <c r="J118" s="63" t="n"/>
      <c r="K118" s="61" t="n"/>
      <c r="L118" s="64" t="n"/>
      <c r="M118" s="60" t="n"/>
      <c r="N118" s="60" t="n"/>
      <c r="O118" s="60" t="n"/>
      <c r="P118" s="61" t="n"/>
      <c r="Q118" s="61" t="n"/>
      <c r="R118" s="65">
        <f>IF(A118="","",TRIM(C118&amp;" "&amp;D118))</f>
        <v/>
      </c>
      <c r="S118" s="66">
        <f>IF(A118="","",IF(COUNTIFS('Häutungen'!$A$7:$A$1006,A118,'Häutungen'!$C$7:$C$1006,"&gt;0")=0,"",_xlfn.MAXIFS('Häutungen'!$C$7:$C$1006,'Häutungen'!$A$7:$A$1006,A118)))</f>
        <v/>
      </c>
      <c r="T118" s="67">
        <f>IF(A118="","",COUNTIFS('Häutungen'!$A$7:$A$1006,A118,'Häutungen'!$C$7:$C$1006,"&gt;0"))</f>
        <v/>
      </c>
      <c r="U118" s="68">
        <f>IF(A118="","",IF(T118&lt;2,"",IFERROR(AVERAGEIFS('Häutungen'!$J$7:$J$1006,'Häutungen'!$A$7:$A$1006,A118,'Häutungen'!$K$7:$K$1006,"&lt;3",'Häutungen'!$I$7:$I$1006,"&gt;0"),"")))</f>
        <v/>
      </c>
      <c r="V118" s="67">
        <f>IF(S118="","",TODAY()-S118)</f>
        <v/>
      </c>
      <c r="W118" s="66">
        <f>IF(OR(U118="",AND(F118="männlich",H118="Adult")),"",S118+ROUND(U118*TpM,0))</f>
        <v/>
      </c>
      <c r="X118" s="68">
        <f>IF(A118="","",IF(S118="",IF(I118="","",I118),IF(SUMIFS('Häutungen'!$D$7:$D$1006,'Häutungen'!$A$7:$A$1006,A118,'Häutungen'!$C$7:$C$1006,S118)&gt;0,SUMIFS('Häutungen'!$D$7:$D$1006,'Häutungen'!$A$7:$A$1006,A118,'Häutungen'!$C$7:$C$1006,S118),IF(I118="","",I118))))</f>
        <v/>
      </c>
      <c r="Y118" s="66">
        <f>IF(A118="","",IF(COUNTIFS('Fütterung'!$A$7:$A$2006,A118,'Fütterung'!$E$7:$E$2006,"Ja")=0,"",_xlfn.MAXIFS('Fütterung'!$C$7:$C$2006,'Fütterung'!$A$7:$A$2006,A118,'Fütterung'!$E$7:$E$2006,"Ja")))</f>
        <v/>
      </c>
      <c r="Z118" s="67">
        <f>IF(Y118="","",TODAY()-Y118)</f>
        <v/>
      </c>
      <c r="AA118" s="65">
        <f>IF(A118="","",IF(AND(F118="männlich",H118="Adult"),"Adultes Männchen",IF(AND(Z118&lt;&gt;"",N(Z118)&gt;=FutterGrenze),"Frisst nicht",IF(U118="","Zu wenig Daten",IF(V118&gt;U118*TpM*FaktorUeber,"Überfällig",IF(V118&gt;U118*TpM*FaktorBald,"Fällig","Im Plan"))))))</f>
        <v/>
      </c>
      <c r="AB118" s="69">
        <f>IF(AND(AC118=1,W118&lt;&gt;""),N(W118)+ROW()/100000,"")</f>
        <v/>
      </c>
      <c r="AC118" s="69">
        <f>IF(A118="","",IF(SUBTOTAL(103,A118)=1,1,0))</f>
        <v/>
      </c>
    </row>
    <row r="119" ht="20" customHeight="1">
      <c r="A119" s="60" t="n"/>
      <c r="B119" s="61" t="n"/>
      <c r="C119" s="61" t="n"/>
      <c r="D119" s="61" t="n"/>
      <c r="E119" s="60" t="n"/>
      <c r="F119" s="60" t="n"/>
      <c r="G119" s="60" t="n"/>
      <c r="H119" s="60" t="n"/>
      <c r="I119" s="62" t="n"/>
      <c r="J119" s="63" t="n"/>
      <c r="K119" s="61" t="n"/>
      <c r="L119" s="64" t="n"/>
      <c r="M119" s="60" t="n"/>
      <c r="N119" s="60" t="n"/>
      <c r="O119" s="60" t="n"/>
      <c r="P119" s="61" t="n"/>
      <c r="Q119" s="61" t="n"/>
      <c r="R119" s="65">
        <f>IF(A119="","",TRIM(C119&amp;" "&amp;D119))</f>
        <v/>
      </c>
      <c r="S119" s="66">
        <f>IF(A119="","",IF(COUNTIFS('Häutungen'!$A$7:$A$1006,A119,'Häutungen'!$C$7:$C$1006,"&gt;0")=0,"",_xlfn.MAXIFS('Häutungen'!$C$7:$C$1006,'Häutungen'!$A$7:$A$1006,A119)))</f>
        <v/>
      </c>
      <c r="T119" s="67">
        <f>IF(A119="","",COUNTIFS('Häutungen'!$A$7:$A$1006,A119,'Häutungen'!$C$7:$C$1006,"&gt;0"))</f>
        <v/>
      </c>
      <c r="U119" s="68">
        <f>IF(A119="","",IF(T119&lt;2,"",IFERROR(AVERAGEIFS('Häutungen'!$J$7:$J$1006,'Häutungen'!$A$7:$A$1006,A119,'Häutungen'!$K$7:$K$1006,"&lt;3",'Häutungen'!$I$7:$I$1006,"&gt;0"),"")))</f>
        <v/>
      </c>
      <c r="V119" s="67">
        <f>IF(S119="","",TODAY()-S119)</f>
        <v/>
      </c>
      <c r="W119" s="66">
        <f>IF(OR(U119="",AND(F119="männlich",H119="Adult")),"",S119+ROUND(U119*TpM,0))</f>
        <v/>
      </c>
      <c r="X119" s="68">
        <f>IF(A119="","",IF(S119="",IF(I119="","",I119),IF(SUMIFS('Häutungen'!$D$7:$D$1006,'Häutungen'!$A$7:$A$1006,A119,'Häutungen'!$C$7:$C$1006,S119)&gt;0,SUMIFS('Häutungen'!$D$7:$D$1006,'Häutungen'!$A$7:$A$1006,A119,'Häutungen'!$C$7:$C$1006,S119),IF(I119="","",I119))))</f>
        <v/>
      </c>
      <c r="Y119" s="66">
        <f>IF(A119="","",IF(COUNTIFS('Fütterung'!$A$7:$A$2006,A119,'Fütterung'!$E$7:$E$2006,"Ja")=0,"",_xlfn.MAXIFS('Fütterung'!$C$7:$C$2006,'Fütterung'!$A$7:$A$2006,A119,'Fütterung'!$E$7:$E$2006,"Ja")))</f>
        <v/>
      </c>
      <c r="Z119" s="67">
        <f>IF(Y119="","",TODAY()-Y119)</f>
        <v/>
      </c>
      <c r="AA119" s="65">
        <f>IF(A119="","",IF(AND(F119="männlich",H119="Adult"),"Adultes Männchen",IF(AND(Z119&lt;&gt;"",N(Z119)&gt;=FutterGrenze),"Frisst nicht",IF(U119="","Zu wenig Daten",IF(V119&gt;U119*TpM*FaktorUeber,"Überfällig",IF(V119&gt;U119*TpM*FaktorBald,"Fällig","Im Plan"))))))</f>
        <v/>
      </c>
      <c r="AB119" s="69">
        <f>IF(AND(AC119=1,W119&lt;&gt;""),N(W119)+ROW()/100000,"")</f>
        <v/>
      </c>
      <c r="AC119" s="69">
        <f>IF(A119="","",IF(SUBTOTAL(103,A119)=1,1,0))</f>
        <v/>
      </c>
    </row>
    <row r="120" ht="20" customHeight="1">
      <c r="A120" s="60" t="n"/>
      <c r="B120" s="61" t="n"/>
      <c r="C120" s="61" t="n"/>
      <c r="D120" s="61" t="n"/>
      <c r="E120" s="60" t="n"/>
      <c r="F120" s="60" t="n"/>
      <c r="G120" s="60" t="n"/>
      <c r="H120" s="60" t="n"/>
      <c r="I120" s="62" t="n"/>
      <c r="J120" s="63" t="n"/>
      <c r="K120" s="61" t="n"/>
      <c r="L120" s="64" t="n"/>
      <c r="M120" s="60" t="n"/>
      <c r="N120" s="60" t="n"/>
      <c r="O120" s="60" t="n"/>
      <c r="P120" s="61" t="n"/>
      <c r="Q120" s="61" t="n"/>
      <c r="R120" s="65">
        <f>IF(A120="","",TRIM(C120&amp;" "&amp;D120))</f>
        <v/>
      </c>
      <c r="S120" s="66">
        <f>IF(A120="","",IF(COUNTIFS('Häutungen'!$A$7:$A$1006,A120,'Häutungen'!$C$7:$C$1006,"&gt;0")=0,"",_xlfn.MAXIFS('Häutungen'!$C$7:$C$1006,'Häutungen'!$A$7:$A$1006,A120)))</f>
        <v/>
      </c>
      <c r="T120" s="67">
        <f>IF(A120="","",COUNTIFS('Häutungen'!$A$7:$A$1006,A120,'Häutungen'!$C$7:$C$1006,"&gt;0"))</f>
        <v/>
      </c>
      <c r="U120" s="68">
        <f>IF(A120="","",IF(T120&lt;2,"",IFERROR(AVERAGEIFS('Häutungen'!$J$7:$J$1006,'Häutungen'!$A$7:$A$1006,A120,'Häutungen'!$K$7:$K$1006,"&lt;3",'Häutungen'!$I$7:$I$1006,"&gt;0"),"")))</f>
        <v/>
      </c>
      <c r="V120" s="67">
        <f>IF(S120="","",TODAY()-S120)</f>
        <v/>
      </c>
      <c r="W120" s="66">
        <f>IF(OR(U120="",AND(F120="männlich",H120="Adult")),"",S120+ROUND(U120*TpM,0))</f>
        <v/>
      </c>
      <c r="X120" s="68">
        <f>IF(A120="","",IF(S120="",IF(I120="","",I120),IF(SUMIFS('Häutungen'!$D$7:$D$1006,'Häutungen'!$A$7:$A$1006,A120,'Häutungen'!$C$7:$C$1006,S120)&gt;0,SUMIFS('Häutungen'!$D$7:$D$1006,'Häutungen'!$A$7:$A$1006,A120,'Häutungen'!$C$7:$C$1006,S120),IF(I120="","",I120))))</f>
        <v/>
      </c>
      <c r="Y120" s="66">
        <f>IF(A120="","",IF(COUNTIFS('Fütterung'!$A$7:$A$2006,A120,'Fütterung'!$E$7:$E$2006,"Ja")=0,"",_xlfn.MAXIFS('Fütterung'!$C$7:$C$2006,'Fütterung'!$A$7:$A$2006,A120,'Fütterung'!$E$7:$E$2006,"Ja")))</f>
        <v/>
      </c>
      <c r="Z120" s="67">
        <f>IF(Y120="","",TODAY()-Y120)</f>
        <v/>
      </c>
      <c r="AA120" s="65">
        <f>IF(A120="","",IF(AND(F120="männlich",H120="Adult"),"Adultes Männchen",IF(AND(Z120&lt;&gt;"",N(Z120)&gt;=FutterGrenze),"Frisst nicht",IF(U120="","Zu wenig Daten",IF(V120&gt;U120*TpM*FaktorUeber,"Überfällig",IF(V120&gt;U120*TpM*FaktorBald,"Fällig","Im Plan"))))))</f>
        <v/>
      </c>
      <c r="AB120" s="69">
        <f>IF(AND(AC120=1,W120&lt;&gt;""),N(W120)+ROW()/100000,"")</f>
        <v/>
      </c>
      <c r="AC120" s="69">
        <f>IF(A120="","",IF(SUBTOTAL(103,A120)=1,1,0))</f>
        <v/>
      </c>
    </row>
    <row r="121" ht="20" customHeight="1">
      <c r="A121" s="60" t="n"/>
      <c r="B121" s="61" t="n"/>
      <c r="C121" s="61" t="n"/>
      <c r="D121" s="61" t="n"/>
      <c r="E121" s="60" t="n"/>
      <c r="F121" s="60" t="n"/>
      <c r="G121" s="60" t="n"/>
      <c r="H121" s="60" t="n"/>
      <c r="I121" s="62" t="n"/>
      <c r="J121" s="63" t="n"/>
      <c r="K121" s="61" t="n"/>
      <c r="L121" s="64" t="n"/>
      <c r="M121" s="60" t="n"/>
      <c r="N121" s="60" t="n"/>
      <c r="O121" s="60" t="n"/>
      <c r="P121" s="61" t="n"/>
      <c r="Q121" s="61" t="n"/>
      <c r="R121" s="65">
        <f>IF(A121="","",TRIM(C121&amp;" "&amp;D121))</f>
        <v/>
      </c>
      <c r="S121" s="66">
        <f>IF(A121="","",IF(COUNTIFS('Häutungen'!$A$7:$A$1006,A121,'Häutungen'!$C$7:$C$1006,"&gt;0")=0,"",_xlfn.MAXIFS('Häutungen'!$C$7:$C$1006,'Häutungen'!$A$7:$A$1006,A121)))</f>
        <v/>
      </c>
      <c r="T121" s="67">
        <f>IF(A121="","",COUNTIFS('Häutungen'!$A$7:$A$1006,A121,'Häutungen'!$C$7:$C$1006,"&gt;0"))</f>
        <v/>
      </c>
      <c r="U121" s="68">
        <f>IF(A121="","",IF(T121&lt;2,"",IFERROR(AVERAGEIFS('Häutungen'!$J$7:$J$1006,'Häutungen'!$A$7:$A$1006,A121,'Häutungen'!$K$7:$K$1006,"&lt;3",'Häutungen'!$I$7:$I$1006,"&gt;0"),"")))</f>
        <v/>
      </c>
      <c r="V121" s="67">
        <f>IF(S121="","",TODAY()-S121)</f>
        <v/>
      </c>
      <c r="W121" s="66">
        <f>IF(OR(U121="",AND(F121="männlich",H121="Adult")),"",S121+ROUND(U121*TpM,0))</f>
        <v/>
      </c>
      <c r="X121" s="68">
        <f>IF(A121="","",IF(S121="",IF(I121="","",I121),IF(SUMIFS('Häutungen'!$D$7:$D$1006,'Häutungen'!$A$7:$A$1006,A121,'Häutungen'!$C$7:$C$1006,S121)&gt;0,SUMIFS('Häutungen'!$D$7:$D$1006,'Häutungen'!$A$7:$A$1006,A121,'Häutungen'!$C$7:$C$1006,S121),IF(I121="","",I121))))</f>
        <v/>
      </c>
      <c r="Y121" s="66">
        <f>IF(A121="","",IF(COUNTIFS('Fütterung'!$A$7:$A$2006,A121,'Fütterung'!$E$7:$E$2006,"Ja")=0,"",_xlfn.MAXIFS('Fütterung'!$C$7:$C$2006,'Fütterung'!$A$7:$A$2006,A121,'Fütterung'!$E$7:$E$2006,"Ja")))</f>
        <v/>
      </c>
      <c r="Z121" s="67">
        <f>IF(Y121="","",TODAY()-Y121)</f>
        <v/>
      </c>
      <c r="AA121" s="65">
        <f>IF(A121="","",IF(AND(F121="männlich",H121="Adult"),"Adultes Männchen",IF(AND(Z121&lt;&gt;"",N(Z121)&gt;=FutterGrenze),"Frisst nicht",IF(U121="","Zu wenig Daten",IF(V121&gt;U121*TpM*FaktorUeber,"Überfällig",IF(V121&gt;U121*TpM*FaktorBald,"Fällig","Im Plan"))))))</f>
        <v/>
      </c>
      <c r="AB121" s="69">
        <f>IF(AND(AC121=1,W121&lt;&gt;""),N(W121)+ROW()/100000,"")</f>
        <v/>
      </c>
      <c r="AC121" s="69">
        <f>IF(A121="","",IF(SUBTOTAL(103,A121)=1,1,0))</f>
        <v/>
      </c>
    </row>
    <row r="122" ht="20" customHeight="1">
      <c r="A122" s="60" t="n"/>
      <c r="B122" s="61" t="n"/>
      <c r="C122" s="61" t="n"/>
      <c r="D122" s="61" t="n"/>
      <c r="E122" s="60" t="n"/>
      <c r="F122" s="60" t="n"/>
      <c r="G122" s="60" t="n"/>
      <c r="H122" s="60" t="n"/>
      <c r="I122" s="62" t="n"/>
      <c r="J122" s="63" t="n"/>
      <c r="K122" s="61" t="n"/>
      <c r="L122" s="64" t="n"/>
      <c r="M122" s="60" t="n"/>
      <c r="N122" s="60" t="n"/>
      <c r="O122" s="60" t="n"/>
      <c r="P122" s="61" t="n"/>
      <c r="Q122" s="61" t="n"/>
      <c r="R122" s="65">
        <f>IF(A122="","",TRIM(C122&amp;" "&amp;D122))</f>
        <v/>
      </c>
      <c r="S122" s="66">
        <f>IF(A122="","",IF(COUNTIFS('Häutungen'!$A$7:$A$1006,A122,'Häutungen'!$C$7:$C$1006,"&gt;0")=0,"",_xlfn.MAXIFS('Häutungen'!$C$7:$C$1006,'Häutungen'!$A$7:$A$1006,A122)))</f>
        <v/>
      </c>
      <c r="T122" s="67">
        <f>IF(A122="","",COUNTIFS('Häutungen'!$A$7:$A$1006,A122,'Häutungen'!$C$7:$C$1006,"&gt;0"))</f>
        <v/>
      </c>
      <c r="U122" s="68">
        <f>IF(A122="","",IF(T122&lt;2,"",IFERROR(AVERAGEIFS('Häutungen'!$J$7:$J$1006,'Häutungen'!$A$7:$A$1006,A122,'Häutungen'!$K$7:$K$1006,"&lt;3",'Häutungen'!$I$7:$I$1006,"&gt;0"),"")))</f>
        <v/>
      </c>
      <c r="V122" s="67">
        <f>IF(S122="","",TODAY()-S122)</f>
        <v/>
      </c>
      <c r="W122" s="66">
        <f>IF(OR(U122="",AND(F122="männlich",H122="Adult")),"",S122+ROUND(U122*TpM,0))</f>
        <v/>
      </c>
      <c r="X122" s="68">
        <f>IF(A122="","",IF(S122="",IF(I122="","",I122),IF(SUMIFS('Häutungen'!$D$7:$D$1006,'Häutungen'!$A$7:$A$1006,A122,'Häutungen'!$C$7:$C$1006,S122)&gt;0,SUMIFS('Häutungen'!$D$7:$D$1006,'Häutungen'!$A$7:$A$1006,A122,'Häutungen'!$C$7:$C$1006,S122),IF(I122="","",I122))))</f>
        <v/>
      </c>
      <c r="Y122" s="66">
        <f>IF(A122="","",IF(COUNTIFS('Fütterung'!$A$7:$A$2006,A122,'Fütterung'!$E$7:$E$2006,"Ja")=0,"",_xlfn.MAXIFS('Fütterung'!$C$7:$C$2006,'Fütterung'!$A$7:$A$2006,A122,'Fütterung'!$E$7:$E$2006,"Ja")))</f>
        <v/>
      </c>
      <c r="Z122" s="67">
        <f>IF(Y122="","",TODAY()-Y122)</f>
        <v/>
      </c>
      <c r="AA122" s="65">
        <f>IF(A122="","",IF(AND(F122="männlich",H122="Adult"),"Adultes Männchen",IF(AND(Z122&lt;&gt;"",N(Z122)&gt;=FutterGrenze),"Frisst nicht",IF(U122="","Zu wenig Daten",IF(V122&gt;U122*TpM*FaktorUeber,"Überfällig",IF(V122&gt;U122*TpM*FaktorBald,"Fällig","Im Plan"))))))</f>
        <v/>
      </c>
      <c r="AB122" s="69">
        <f>IF(AND(AC122=1,W122&lt;&gt;""),N(W122)+ROW()/100000,"")</f>
        <v/>
      </c>
      <c r="AC122" s="69">
        <f>IF(A122="","",IF(SUBTOTAL(103,A122)=1,1,0))</f>
        <v/>
      </c>
    </row>
    <row r="123" ht="20" customHeight="1">
      <c r="A123" s="60" t="n"/>
      <c r="B123" s="61" t="n"/>
      <c r="C123" s="61" t="n"/>
      <c r="D123" s="61" t="n"/>
      <c r="E123" s="60" t="n"/>
      <c r="F123" s="60" t="n"/>
      <c r="G123" s="60" t="n"/>
      <c r="H123" s="60" t="n"/>
      <c r="I123" s="62" t="n"/>
      <c r="J123" s="63" t="n"/>
      <c r="K123" s="61" t="n"/>
      <c r="L123" s="64" t="n"/>
      <c r="M123" s="60" t="n"/>
      <c r="N123" s="60" t="n"/>
      <c r="O123" s="60" t="n"/>
      <c r="P123" s="61" t="n"/>
      <c r="Q123" s="61" t="n"/>
      <c r="R123" s="65">
        <f>IF(A123="","",TRIM(C123&amp;" "&amp;D123))</f>
        <v/>
      </c>
      <c r="S123" s="66">
        <f>IF(A123="","",IF(COUNTIFS('Häutungen'!$A$7:$A$1006,A123,'Häutungen'!$C$7:$C$1006,"&gt;0")=0,"",_xlfn.MAXIFS('Häutungen'!$C$7:$C$1006,'Häutungen'!$A$7:$A$1006,A123)))</f>
        <v/>
      </c>
      <c r="T123" s="67">
        <f>IF(A123="","",COUNTIFS('Häutungen'!$A$7:$A$1006,A123,'Häutungen'!$C$7:$C$1006,"&gt;0"))</f>
        <v/>
      </c>
      <c r="U123" s="68">
        <f>IF(A123="","",IF(T123&lt;2,"",IFERROR(AVERAGEIFS('Häutungen'!$J$7:$J$1006,'Häutungen'!$A$7:$A$1006,A123,'Häutungen'!$K$7:$K$1006,"&lt;3",'Häutungen'!$I$7:$I$1006,"&gt;0"),"")))</f>
        <v/>
      </c>
      <c r="V123" s="67">
        <f>IF(S123="","",TODAY()-S123)</f>
        <v/>
      </c>
      <c r="W123" s="66">
        <f>IF(OR(U123="",AND(F123="männlich",H123="Adult")),"",S123+ROUND(U123*TpM,0))</f>
        <v/>
      </c>
      <c r="X123" s="68">
        <f>IF(A123="","",IF(S123="",IF(I123="","",I123),IF(SUMIFS('Häutungen'!$D$7:$D$1006,'Häutungen'!$A$7:$A$1006,A123,'Häutungen'!$C$7:$C$1006,S123)&gt;0,SUMIFS('Häutungen'!$D$7:$D$1006,'Häutungen'!$A$7:$A$1006,A123,'Häutungen'!$C$7:$C$1006,S123),IF(I123="","",I123))))</f>
        <v/>
      </c>
      <c r="Y123" s="66">
        <f>IF(A123="","",IF(COUNTIFS('Fütterung'!$A$7:$A$2006,A123,'Fütterung'!$E$7:$E$2006,"Ja")=0,"",_xlfn.MAXIFS('Fütterung'!$C$7:$C$2006,'Fütterung'!$A$7:$A$2006,A123,'Fütterung'!$E$7:$E$2006,"Ja")))</f>
        <v/>
      </c>
      <c r="Z123" s="67">
        <f>IF(Y123="","",TODAY()-Y123)</f>
        <v/>
      </c>
      <c r="AA123" s="65">
        <f>IF(A123="","",IF(AND(F123="männlich",H123="Adult"),"Adultes Männchen",IF(AND(Z123&lt;&gt;"",N(Z123)&gt;=FutterGrenze),"Frisst nicht",IF(U123="","Zu wenig Daten",IF(V123&gt;U123*TpM*FaktorUeber,"Überfällig",IF(V123&gt;U123*TpM*FaktorBald,"Fällig","Im Plan"))))))</f>
        <v/>
      </c>
      <c r="AB123" s="69">
        <f>IF(AND(AC123=1,W123&lt;&gt;""),N(W123)+ROW()/100000,"")</f>
        <v/>
      </c>
      <c r="AC123" s="69">
        <f>IF(A123="","",IF(SUBTOTAL(103,A123)=1,1,0))</f>
        <v/>
      </c>
    </row>
    <row r="124" ht="20" customHeight="1">
      <c r="A124" s="60" t="n"/>
      <c r="B124" s="61" t="n"/>
      <c r="C124" s="61" t="n"/>
      <c r="D124" s="61" t="n"/>
      <c r="E124" s="60" t="n"/>
      <c r="F124" s="60" t="n"/>
      <c r="G124" s="60" t="n"/>
      <c r="H124" s="60" t="n"/>
      <c r="I124" s="62" t="n"/>
      <c r="J124" s="63" t="n"/>
      <c r="K124" s="61" t="n"/>
      <c r="L124" s="64" t="n"/>
      <c r="M124" s="60" t="n"/>
      <c r="N124" s="60" t="n"/>
      <c r="O124" s="60" t="n"/>
      <c r="P124" s="61" t="n"/>
      <c r="Q124" s="61" t="n"/>
      <c r="R124" s="65">
        <f>IF(A124="","",TRIM(C124&amp;" "&amp;D124))</f>
        <v/>
      </c>
      <c r="S124" s="66">
        <f>IF(A124="","",IF(COUNTIFS('Häutungen'!$A$7:$A$1006,A124,'Häutungen'!$C$7:$C$1006,"&gt;0")=0,"",_xlfn.MAXIFS('Häutungen'!$C$7:$C$1006,'Häutungen'!$A$7:$A$1006,A124)))</f>
        <v/>
      </c>
      <c r="T124" s="67">
        <f>IF(A124="","",COUNTIFS('Häutungen'!$A$7:$A$1006,A124,'Häutungen'!$C$7:$C$1006,"&gt;0"))</f>
        <v/>
      </c>
      <c r="U124" s="68">
        <f>IF(A124="","",IF(T124&lt;2,"",IFERROR(AVERAGEIFS('Häutungen'!$J$7:$J$1006,'Häutungen'!$A$7:$A$1006,A124,'Häutungen'!$K$7:$K$1006,"&lt;3",'Häutungen'!$I$7:$I$1006,"&gt;0"),"")))</f>
        <v/>
      </c>
      <c r="V124" s="67">
        <f>IF(S124="","",TODAY()-S124)</f>
        <v/>
      </c>
      <c r="W124" s="66">
        <f>IF(OR(U124="",AND(F124="männlich",H124="Adult")),"",S124+ROUND(U124*TpM,0))</f>
        <v/>
      </c>
      <c r="X124" s="68">
        <f>IF(A124="","",IF(S124="",IF(I124="","",I124),IF(SUMIFS('Häutungen'!$D$7:$D$1006,'Häutungen'!$A$7:$A$1006,A124,'Häutungen'!$C$7:$C$1006,S124)&gt;0,SUMIFS('Häutungen'!$D$7:$D$1006,'Häutungen'!$A$7:$A$1006,A124,'Häutungen'!$C$7:$C$1006,S124),IF(I124="","",I124))))</f>
        <v/>
      </c>
      <c r="Y124" s="66">
        <f>IF(A124="","",IF(COUNTIFS('Fütterung'!$A$7:$A$2006,A124,'Fütterung'!$E$7:$E$2006,"Ja")=0,"",_xlfn.MAXIFS('Fütterung'!$C$7:$C$2006,'Fütterung'!$A$7:$A$2006,A124,'Fütterung'!$E$7:$E$2006,"Ja")))</f>
        <v/>
      </c>
      <c r="Z124" s="67">
        <f>IF(Y124="","",TODAY()-Y124)</f>
        <v/>
      </c>
      <c r="AA124" s="65">
        <f>IF(A124="","",IF(AND(F124="männlich",H124="Adult"),"Adultes Männchen",IF(AND(Z124&lt;&gt;"",N(Z124)&gt;=FutterGrenze),"Frisst nicht",IF(U124="","Zu wenig Daten",IF(V124&gt;U124*TpM*FaktorUeber,"Überfällig",IF(V124&gt;U124*TpM*FaktorBald,"Fällig","Im Plan"))))))</f>
        <v/>
      </c>
      <c r="AB124" s="69">
        <f>IF(AND(AC124=1,W124&lt;&gt;""),N(W124)+ROW()/100000,"")</f>
        <v/>
      </c>
      <c r="AC124" s="69">
        <f>IF(A124="","",IF(SUBTOTAL(103,A124)=1,1,0))</f>
        <v/>
      </c>
    </row>
    <row r="125" ht="20" customHeight="1">
      <c r="A125" s="60" t="n"/>
      <c r="B125" s="61" t="n"/>
      <c r="C125" s="61" t="n"/>
      <c r="D125" s="61" t="n"/>
      <c r="E125" s="60" t="n"/>
      <c r="F125" s="60" t="n"/>
      <c r="G125" s="60" t="n"/>
      <c r="H125" s="60" t="n"/>
      <c r="I125" s="62" t="n"/>
      <c r="J125" s="63" t="n"/>
      <c r="K125" s="61" t="n"/>
      <c r="L125" s="64" t="n"/>
      <c r="M125" s="60" t="n"/>
      <c r="N125" s="60" t="n"/>
      <c r="O125" s="60" t="n"/>
      <c r="P125" s="61" t="n"/>
      <c r="Q125" s="61" t="n"/>
      <c r="R125" s="65">
        <f>IF(A125="","",TRIM(C125&amp;" "&amp;D125))</f>
        <v/>
      </c>
      <c r="S125" s="66">
        <f>IF(A125="","",IF(COUNTIFS('Häutungen'!$A$7:$A$1006,A125,'Häutungen'!$C$7:$C$1006,"&gt;0")=0,"",_xlfn.MAXIFS('Häutungen'!$C$7:$C$1006,'Häutungen'!$A$7:$A$1006,A125)))</f>
        <v/>
      </c>
      <c r="T125" s="67">
        <f>IF(A125="","",COUNTIFS('Häutungen'!$A$7:$A$1006,A125,'Häutungen'!$C$7:$C$1006,"&gt;0"))</f>
        <v/>
      </c>
      <c r="U125" s="68">
        <f>IF(A125="","",IF(T125&lt;2,"",IFERROR(AVERAGEIFS('Häutungen'!$J$7:$J$1006,'Häutungen'!$A$7:$A$1006,A125,'Häutungen'!$K$7:$K$1006,"&lt;3",'Häutungen'!$I$7:$I$1006,"&gt;0"),"")))</f>
        <v/>
      </c>
      <c r="V125" s="67">
        <f>IF(S125="","",TODAY()-S125)</f>
        <v/>
      </c>
      <c r="W125" s="66">
        <f>IF(OR(U125="",AND(F125="männlich",H125="Adult")),"",S125+ROUND(U125*TpM,0))</f>
        <v/>
      </c>
      <c r="X125" s="68">
        <f>IF(A125="","",IF(S125="",IF(I125="","",I125),IF(SUMIFS('Häutungen'!$D$7:$D$1006,'Häutungen'!$A$7:$A$1006,A125,'Häutungen'!$C$7:$C$1006,S125)&gt;0,SUMIFS('Häutungen'!$D$7:$D$1006,'Häutungen'!$A$7:$A$1006,A125,'Häutungen'!$C$7:$C$1006,S125),IF(I125="","",I125))))</f>
        <v/>
      </c>
      <c r="Y125" s="66">
        <f>IF(A125="","",IF(COUNTIFS('Fütterung'!$A$7:$A$2006,A125,'Fütterung'!$E$7:$E$2006,"Ja")=0,"",_xlfn.MAXIFS('Fütterung'!$C$7:$C$2006,'Fütterung'!$A$7:$A$2006,A125,'Fütterung'!$E$7:$E$2006,"Ja")))</f>
        <v/>
      </c>
      <c r="Z125" s="67">
        <f>IF(Y125="","",TODAY()-Y125)</f>
        <v/>
      </c>
      <c r="AA125" s="65">
        <f>IF(A125="","",IF(AND(F125="männlich",H125="Adult"),"Adultes Männchen",IF(AND(Z125&lt;&gt;"",N(Z125)&gt;=FutterGrenze),"Frisst nicht",IF(U125="","Zu wenig Daten",IF(V125&gt;U125*TpM*FaktorUeber,"Überfällig",IF(V125&gt;U125*TpM*FaktorBald,"Fällig","Im Plan"))))))</f>
        <v/>
      </c>
      <c r="AB125" s="69">
        <f>IF(AND(AC125=1,W125&lt;&gt;""),N(W125)+ROW()/100000,"")</f>
        <v/>
      </c>
      <c r="AC125" s="69">
        <f>IF(A125="","",IF(SUBTOTAL(103,A125)=1,1,0))</f>
        <v/>
      </c>
    </row>
    <row r="126" ht="20" customHeight="1">
      <c r="A126" s="60" t="n"/>
      <c r="B126" s="61" t="n"/>
      <c r="C126" s="61" t="n"/>
      <c r="D126" s="61" t="n"/>
      <c r="E126" s="60" t="n"/>
      <c r="F126" s="60" t="n"/>
      <c r="G126" s="60" t="n"/>
      <c r="H126" s="60" t="n"/>
      <c r="I126" s="62" t="n"/>
      <c r="J126" s="63" t="n"/>
      <c r="K126" s="61" t="n"/>
      <c r="L126" s="64" t="n"/>
      <c r="M126" s="60" t="n"/>
      <c r="N126" s="60" t="n"/>
      <c r="O126" s="60" t="n"/>
      <c r="P126" s="61" t="n"/>
      <c r="Q126" s="61" t="n"/>
      <c r="R126" s="65">
        <f>IF(A126="","",TRIM(C126&amp;" "&amp;D126))</f>
        <v/>
      </c>
      <c r="S126" s="66">
        <f>IF(A126="","",IF(COUNTIFS('Häutungen'!$A$7:$A$1006,A126,'Häutungen'!$C$7:$C$1006,"&gt;0")=0,"",_xlfn.MAXIFS('Häutungen'!$C$7:$C$1006,'Häutungen'!$A$7:$A$1006,A126)))</f>
        <v/>
      </c>
      <c r="T126" s="67">
        <f>IF(A126="","",COUNTIFS('Häutungen'!$A$7:$A$1006,A126,'Häutungen'!$C$7:$C$1006,"&gt;0"))</f>
        <v/>
      </c>
      <c r="U126" s="68">
        <f>IF(A126="","",IF(T126&lt;2,"",IFERROR(AVERAGEIFS('Häutungen'!$J$7:$J$1006,'Häutungen'!$A$7:$A$1006,A126,'Häutungen'!$K$7:$K$1006,"&lt;3",'Häutungen'!$I$7:$I$1006,"&gt;0"),"")))</f>
        <v/>
      </c>
      <c r="V126" s="67">
        <f>IF(S126="","",TODAY()-S126)</f>
        <v/>
      </c>
      <c r="W126" s="66">
        <f>IF(OR(U126="",AND(F126="männlich",H126="Adult")),"",S126+ROUND(U126*TpM,0))</f>
        <v/>
      </c>
      <c r="X126" s="68">
        <f>IF(A126="","",IF(S126="",IF(I126="","",I126),IF(SUMIFS('Häutungen'!$D$7:$D$1006,'Häutungen'!$A$7:$A$1006,A126,'Häutungen'!$C$7:$C$1006,S126)&gt;0,SUMIFS('Häutungen'!$D$7:$D$1006,'Häutungen'!$A$7:$A$1006,A126,'Häutungen'!$C$7:$C$1006,S126),IF(I126="","",I126))))</f>
        <v/>
      </c>
      <c r="Y126" s="66">
        <f>IF(A126="","",IF(COUNTIFS('Fütterung'!$A$7:$A$2006,A126,'Fütterung'!$E$7:$E$2006,"Ja")=0,"",_xlfn.MAXIFS('Fütterung'!$C$7:$C$2006,'Fütterung'!$A$7:$A$2006,A126,'Fütterung'!$E$7:$E$2006,"Ja")))</f>
        <v/>
      </c>
      <c r="Z126" s="67">
        <f>IF(Y126="","",TODAY()-Y126)</f>
        <v/>
      </c>
      <c r="AA126" s="65">
        <f>IF(A126="","",IF(AND(F126="männlich",H126="Adult"),"Adultes Männchen",IF(AND(Z126&lt;&gt;"",N(Z126)&gt;=FutterGrenze),"Frisst nicht",IF(U126="","Zu wenig Daten",IF(V126&gt;U126*TpM*FaktorUeber,"Überfällig",IF(V126&gt;U126*TpM*FaktorBald,"Fällig","Im Plan"))))))</f>
        <v/>
      </c>
      <c r="AB126" s="69">
        <f>IF(AND(AC126=1,W126&lt;&gt;""),N(W126)+ROW()/100000,"")</f>
        <v/>
      </c>
      <c r="AC126" s="69">
        <f>IF(A126="","",IF(SUBTOTAL(103,A126)=1,1,0))</f>
        <v/>
      </c>
    </row>
    <row r="127" ht="20" customHeight="1">
      <c r="A127" s="60" t="n"/>
      <c r="B127" s="61" t="n"/>
      <c r="C127" s="61" t="n"/>
      <c r="D127" s="61" t="n"/>
      <c r="E127" s="60" t="n"/>
      <c r="F127" s="60" t="n"/>
      <c r="G127" s="60" t="n"/>
      <c r="H127" s="60" t="n"/>
      <c r="I127" s="62" t="n"/>
      <c r="J127" s="63" t="n"/>
      <c r="K127" s="61" t="n"/>
      <c r="L127" s="64" t="n"/>
      <c r="M127" s="60" t="n"/>
      <c r="N127" s="60" t="n"/>
      <c r="O127" s="60" t="n"/>
      <c r="P127" s="61" t="n"/>
      <c r="Q127" s="61" t="n"/>
      <c r="R127" s="65">
        <f>IF(A127="","",TRIM(C127&amp;" "&amp;D127))</f>
        <v/>
      </c>
      <c r="S127" s="66">
        <f>IF(A127="","",IF(COUNTIFS('Häutungen'!$A$7:$A$1006,A127,'Häutungen'!$C$7:$C$1006,"&gt;0")=0,"",_xlfn.MAXIFS('Häutungen'!$C$7:$C$1006,'Häutungen'!$A$7:$A$1006,A127)))</f>
        <v/>
      </c>
      <c r="T127" s="67">
        <f>IF(A127="","",COUNTIFS('Häutungen'!$A$7:$A$1006,A127,'Häutungen'!$C$7:$C$1006,"&gt;0"))</f>
        <v/>
      </c>
      <c r="U127" s="68">
        <f>IF(A127="","",IF(T127&lt;2,"",IFERROR(AVERAGEIFS('Häutungen'!$J$7:$J$1006,'Häutungen'!$A$7:$A$1006,A127,'Häutungen'!$K$7:$K$1006,"&lt;3",'Häutungen'!$I$7:$I$1006,"&gt;0"),"")))</f>
        <v/>
      </c>
      <c r="V127" s="67">
        <f>IF(S127="","",TODAY()-S127)</f>
        <v/>
      </c>
      <c r="W127" s="66">
        <f>IF(OR(U127="",AND(F127="männlich",H127="Adult")),"",S127+ROUND(U127*TpM,0))</f>
        <v/>
      </c>
      <c r="X127" s="68">
        <f>IF(A127="","",IF(S127="",IF(I127="","",I127),IF(SUMIFS('Häutungen'!$D$7:$D$1006,'Häutungen'!$A$7:$A$1006,A127,'Häutungen'!$C$7:$C$1006,S127)&gt;0,SUMIFS('Häutungen'!$D$7:$D$1006,'Häutungen'!$A$7:$A$1006,A127,'Häutungen'!$C$7:$C$1006,S127),IF(I127="","",I127))))</f>
        <v/>
      </c>
      <c r="Y127" s="66">
        <f>IF(A127="","",IF(COUNTIFS('Fütterung'!$A$7:$A$2006,A127,'Fütterung'!$E$7:$E$2006,"Ja")=0,"",_xlfn.MAXIFS('Fütterung'!$C$7:$C$2006,'Fütterung'!$A$7:$A$2006,A127,'Fütterung'!$E$7:$E$2006,"Ja")))</f>
        <v/>
      </c>
      <c r="Z127" s="67">
        <f>IF(Y127="","",TODAY()-Y127)</f>
        <v/>
      </c>
      <c r="AA127" s="65">
        <f>IF(A127="","",IF(AND(F127="männlich",H127="Adult"),"Adultes Männchen",IF(AND(Z127&lt;&gt;"",N(Z127)&gt;=FutterGrenze),"Frisst nicht",IF(U127="","Zu wenig Daten",IF(V127&gt;U127*TpM*FaktorUeber,"Überfällig",IF(V127&gt;U127*TpM*FaktorBald,"Fällig","Im Plan"))))))</f>
        <v/>
      </c>
      <c r="AB127" s="69">
        <f>IF(AND(AC127=1,W127&lt;&gt;""),N(W127)+ROW()/100000,"")</f>
        <v/>
      </c>
      <c r="AC127" s="69">
        <f>IF(A127="","",IF(SUBTOTAL(103,A127)=1,1,0))</f>
        <v/>
      </c>
    </row>
    <row r="128" ht="20" customHeight="1">
      <c r="A128" s="60" t="n"/>
      <c r="B128" s="61" t="n"/>
      <c r="C128" s="61" t="n"/>
      <c r="D128" s="61" t="n"/>
      <c r="E128" s="60" t="n"/>
      <c r="F128" s="60" t="n"/>
      <c r="G128" s="60" t="n"/>
      <c r="H128" s="60" t="n"/>
      <c r="I128" s="62" t="n"/>
      <c r="J128" s="63" t="n"/>
      <c r="K128" s="61" t="n"/>
      <c r="L128" s="64" t="n"/>
      <c r="M128" s="60" t="n"/>
      <c r="N128" s="60" t="n"/>
      <c r="O128" s="60" t="n"/>
      <c r="P128" s="61" t="n"/>
      <c r="Q128" s="61" t="n"/>
      <c r="R128" s="65">
        <f>IF(A128="","",TRIM(C128&amp;" "&amp;D128))</f>
        <v/>
      </c>
      <c r="S128" s="66">
        <f>IF(A128="","",IF(COUNTIFS('Häutungen'!$A$7:$A$1006,A128,'Häutungen'!$C$7:$C$1006,"&gt;0")=0,"",_xlfn.MAXIFS('Häutungen'!$C$7:$C$1006,'Häutungen'!$A$7:$A$1006,A128)))</f>
        <v/>
      </c>
      <c r="T128" s="67">
        <f>IF(A128="","",COUNTIFS('Häutungen'!$A$7:$A$1006,A128,'Häutungen'!$C$7:$C$1006,"&gt;0"))</f>
        <v/>
      </c>
      <c r="U128" s="68">
        <f>IF(A128="","",IF(T128&lt;2,"",IFERROR(AVERAGEIFS('Häutungen'!$J$7:$J$1006,'Häutungen'!$A$7:$A$1006,A128,'Häutungen'!$K$7:$K$1006,"&lt;3",'Häutungen'!$I$7:$I$1006,"&gt;0"),"")))</f>
        <v/>
      </c>
      <c r="V128" s="67">
        <f>IF(S128="","",TODAY()-S128)</f>
        <v/>
      </c>
      <c r="W128" s="66">
        <f>IF(OR(U128="",AND(F128="männlich",H128="Adult")),"",S128+ROUND(U128*TpM,0))</f>
        <v/>
      </c>
      <c r="X128" s="68">
        <f>IF(A128="","",IF(S128="",IF(I128="","",I128),IF(SUMIFS('Häutungen'!$D$7:$D$1006,'Häutungen'!$A$7:$A$1006,A128,'Häutungen'!$C$7:$C$1006,S128)&gt;0,SUMIFS('Häutungen'!$D$7:$D$1006,'Häutungen'!$A$7:$A$1006,A128,'Häutungen'!$C$7:$C$1006,S128),IF(I128="","",I128))))</f>
        <v/>
      </c>
      <c r="Y128" s="66">
        <f>IF(A128="","",IF(COUNTIFS('Fütterung'!$A$7:$A$2006,A128,'Fütterung'!$E$7:$E$2006,"Ja")=0,"",_xlfn.MAXIFS('Fütterung'!$C$7:$C$2006,'Fütterung'!$A$7:$A$2006,A128,'Fütterung'!$E$7:$E$2006,"Ja")))</f>
        <v/>
      </c>
      <c r="Z128" s="67">
        <f>IF(Y128="","",TODAY()-Y128)</f>
        <v/>
      </c>
      <c r="AA128" s="65">
        <f>IF(A128="","",IF(AND(F128="männlich",H128="Adult"),"Adultes Männchen",IF(AND(Z128&lt;&gt;"",N(Z128)&gt;=FutterGrenze),"Frisst nicht",IF(U128="","Zu wenig Daten",IF(V128&gt;U128*TpM*FaktorUeber,"Überfällig",IF(V128&gt;U128*TpM*FaktorBald,"Fällig","Im Plan"))))))</f>
        <v/>
      </c>
      <c r="AB128" s="69">
        <f>IF(AND(AC128=1,W128&lt;&gt;""),N(W128)+ROW()/100000,"")</f>
        <v/>
      </c>
      <c r="AC128" s="69">
        <f>IF(A128="","",IF(SUBTOTAL(103,A128)=1,1,0))</f>
        <v/>
      </c>
    </row>
    <row r="129" ht="20" customHeight="1">
      <c r="A129" s="60" t="n"/>
      <c r="B129" s="61" t="n"/>
      <c r="C129" s="61" t="n"/>
      <c r="D129" s="61" t="n"/>
      <c r="E129" s="60" t="n"/>
      <c r="F129" s="60" t="n"/>
      <c r="G129" s="60" t="n"/>
      <c r="H129" s="60" t="n"/>
      <c r="I129" s="62" t="n"/>
      <c r="J129" s="63" t="n"/>
      <c r="K129" s="61" t="n"/>
      <c r="L129" s="64" t="n"/>
      <c r="M129" s="60" t="n"/>
      <c r="N129" s="60" t="n"/>
      <c r="O129" s="60" t="n"/>
      <c r="P129" s="61" t="n"/>
      <c r="Q129" s="61" t="n"/>
      <c r="R129" s="65">
        <f>IF(A129="","",TRIM(C129&amp;" "&amp;D129))</f>
        <v/>
      </c>
      <c r="S129" s="66">
        <f>IF(A129="","",IF(COUNTIFS('Häutungen'!$A$7:$A$1006,A129,'Häutungen'!$C$7:$C$1006,"&gt;0")=0,"",_xlfn.MAXIFS('Häutungen'!$C$7:$C$1006,'Häutungen'!$A$7:$A$1006,A129)))</f>
        <v/>
      </c>
      <c r="T129" s="67">
        <f>IF(A129="","",COUNTIFS('Häutungen'!$A$7:$A$1006,A129,'Häutungen'!$C$7:$C$1006,"&gt;0"))</f>
        <v/>
      </c>
      <c r="U129" s="68">
        <f>IF(A129="","",IF(T129&lt;2,"",IFERROR(AVERAGEIFS('Häutungen'!$J$7:$J$1006,'Häutungen'!$A$7:$A$1006,A129,'Häutungen'!$K$7:$K$1006,"&lt;3",'Häutungen'!$I$7:$I$1006,"&gt;0"),"")))</f>
        <v/>
      </c>
      <c r="V129" s="67">
        <f>IF(S129="","",TODAY()-S129)</f>
        <v/>
      </c>
      <c r="W129" s="66">
        <f>IF(OR(U129="",AND(F129="männlich",H129="Adult")),"",S129+ROUND(U129*TpM,0))</f>
        <v/>
      </c>
      <c r="X129" s="68">
        <f>IF(A129="","",IF(S129="",IF(I129="","",I129),IF(SUMIFS('Häutungen'!$D$7:$D$1006,'Häutungen'!$A$7:$A$1006,A129,'Häutungen'!$C$7:$C$1006,S129)&gt;0,SUMIFS('Häutungen'!$D$7:$D$1006,'Häutungen'!$A$7:$A$1006,A129,'Häutungen'!$C$7:$C$1006,S129),IF(I129="","",I129))))</f>
        <v/>
      </c>
      <c r="Y129" s="66">
        <f>IF(A129="","",IF(COUNTIFS('Fütterung'!$A$7:$A$2006,A129,'Fütterung'!$E$7:$E$2006,"Ja")=0,"",_xlfn.MAXIFS('Fütterung'!$C$7:$C$2006,'Fütterung'!$A$7:$A$2006,A129,'Fütterung'!$E$7:$E$2006,"Ja")))</f>
        <v/>
      </c>
      <c r="Z129" s="67">
        <f>IF(Y129="","",TODAY()-Y129)</f>
        <v/>
      </c>
      <c r="AA129" s="65">
        <f>IF(A129="","",IF(AND(F129="männlich",H129="Adult"),"Adultes Männchen",IF(AND(Z129&lt;&gt;"",N(Z129)&gt;=FutterGrenze),"Frisst nicht",IF(U129="","Zu wenig Daten",IF(V129&gt;U129*TpM*FaktorUeber,"Überfällig",IF(V129&gt;U129*TpM*FaktorBald,"Fällig","Im Plan"))))))</f>
        <v/>
      </c>
      <c r="AB129" s="69">
        <f>IF(AND(AC129=1,W129&lt;&gt;""),N(W129)+ROW()/100000,"")</f>
        <v/>
      </c>
      <c r="AC129" s="69">
        <f>IF(A129="","",IF(SUBTOTAL(103,A129)=1,1,0))</f>
        <v/>
      </c>
    </row>
    <row r="130" ht="20" customHeight="1">
      <c r="A130" s="60" t="n"/>
      <c r="B130" s="61" t="n"/>
      <c r="C130" s="61" t="n"/>
      <c r="D130" s="61" t="n"/>
      <c r="E130" s="60" t="n"/>
      <c r="F130" s="60" t="n"/>
      <c r="G130" s="60" t="n"/>
      <c r="H130" s="60" t="n"/>
      <c r="I130" s="62" t="n"/>
      <c r="J130" s="63" t="n"/>
      <c r="K130" s="61" t="n"/>
      <c r="L130" s="64" t="n"/>
      <c r="M130" s="60" t="n"/>
      <c r="N130" s="60" t="n"/>
      <c r="O130" s="60" t="n"/>
      <c r="P130" s="61" t="n"/>
      <c r="Q130" s="61" t="n"/>
      <c r="R130" s="65">
        <f>IF(A130="","",TRIM(C130&amp;" "&amp;D130))</f>
        <v/>
      </c>
      <c r="S130" s="66">
        <f>IF(A130="","",IF(COUNTIFS('Häutungen'!$A$7:$A$1006,A130,'Häutungen'!$C$7:$C$1006,"&gt;0")=0,"",_xlfn.MAXIFS('Häutungen'!$C$7:$C$1006,'Häutungen'!$A$7:$A$1006,A130)))</f>
        <v/>
      </c>
      <c r="T130" s="67">
        <f>IF(A130="","",COUNTIFS('Häutungen'!$A$7:$A$1006,A130,'Häutungen'!$C$7:$C$1006,"&gt;0"))</f>
        <v/>
      </c>
      <c r="U130" s="68">
        <f>IF(A130="","",IF(T130&lt;2,"",IFERROR(AVERAGEIFS('Häutungen'!$J$7:$J$1006,'Häutungen'!$A$7:$A$1006,A130,'Häutungen'!$K$7:$K$1006,"&lt;3",'Häutungen'!$I$7:$I$1006,"&gt;0"),"")))</f>
        <v/>
      </c>
      <c r="V130" s="67">
        <f>IF(S130="","",TODAY()-S130)</f>
        <v/>
      </c>
      <c r="W130" s="66">
        <f>IF(OR(U130="",AND(F130="männlich",H130="Adult")),"",S130+ROUND(U130*TpM,0))</f>
        <v/>
      </c>
      <c r="X130" s="68">
        <f>IF(A130="","",IF(S130="",IF(I130="","",I130),IF(SUMIFS('Häutungen'!$D$7:$D$1006,'Häutungen'!$A$7:$A$1006,A130,'Häutungen'!$C$7:$C$1006,S130)&gt;0,SUMIFS('Häutungen'!$D$7:$D$1006,'Häutungen'!$A$7:$A$1006,A130,'Häutungen'!$C$7:$C$1006,S130),IF(I130="","",I130))))</f>
        <v/>
      </c>
      <c r="Y130" s="66">
        <f>IF(A130="","",IF(COUNTIFS('Fütterung'!$A$7:$A$2006,A130,'Fütterung'!$E$7:$E$2006,"Ja")=0,"",_xlfn.MAXIFS('Fütterung'!$C$7:$C$2006,'Fütterung'!$A$7:$A$2006,A130,'Fütterung'!$E$7:$E$2006,"Ja")))</f>
        <v/>
      </c>
      <c r="Z130" s="67">
        <f>IF(Y130="","",TODAY()-Y130)</f>
        <v/>
      </c>
      <c r="AA130" s="65">
        <f>IF(A130="","",IF(AND(F130="männlich",H130="Adult"),"Adultes Männchen",IF(AND(Z130&lt;&gt;"",N(Z130)&gt;=FutterGrenze),"Frisst nicht",IF(U130="","Zu wenig Daten",IF(V130&gt;U130*TpM*FaktorUeber,"Überfällig",IF(V130&gt;U130*TpM*FaktorBald,"Fällig","Im Plan"))))))</f>
        <v/>
      </c>
      <c r="AB130" s="69">
        <f>IF(AND(AC130=1,W130&lt;&gt;""),N(W130)+ROW()/100000,"")</f>
        <v/>
      </c>
      <c r="AC130" s="69">
        <f>IF(A130="","",IF(SUBTOTAL(103,A130)=1,1,0))</f>
        <v/>
      </c>
    </row>
    <row r="131" ht="20" customHeight="1">
      <c r="A131" s="60" t="n"/>
      <c r="B131" s="61" t="n"/>
      <c r="C131" s="61" t="n"/>
      <c r="D131" s="61" t="n"/>
      <c r="E131" s="60" t="n"/>
      <c r="F131" s="60" t="n"/>
      <c r="G131" s="60" t="n"/>
      <c r="H131" s="60" t="n"/>
      <c r="I131" s="62" t="n"/>
      <c r="J131" s="63" t="n"/>
      <c r="K131" s="61" t="n"/>
      <c r="L131" s="64" t="n"/>
      <c r="M131" s="60" t="n"/>
      <c r="N131" s="60" t="n"/>
      <c r="O131" s="60" t="n"/>
      <c r="P131" s="61" t="n"/>
      <c r="Q131" s="61" t="n"/>
      <c r="R131" s="65">
        <f>IF(A131="","",TRIM(C131&amp;" "&amp;D131))</f>
        <v/>
      </c>
      <c r="S131" s="66">
        <f>IF(A131="","",IF(COUNTIFS('Häutungen'!$A$7:$A$1006,A131,'Häutungen'!$C$7:$C$1006,"&gt;0")=0,"",_xlfn.MAXIFS('Häutungen'!$C$7:$C$1006,'Häutungen'!$A$7:$A$1006,A131)))</f>
        <v/>
      </c>
      <c r="T131" s="67">
        <f>IF(A131="","",COUNTIFS('Häutungen'!$A$7:$A$1006,A131,'Häutungen'!$C$7:$C$1006,"&gt;0"))</f>
        <v/>
      </c>
      <c r="U131" s="68">
        <f>IF(A131="","",IF(T131&lt;2,"",IFERROR(AVERAGEIFS('Häutungen'!$J$7:$J$1006,'Häutungen'!$A$7:$A$1006,A131,'Häutungen'!$K$7:$K$1006,"&lt;3",'Häutungen'!$I$7:$I$1006,"&gt;0"),"")))</f>
        <v/>
      </c>
      <c r="V131" s="67">
        <f>IF(S131="","",TODAY()-S131)</f>
        <v/>
      </c>
      <c r="W131" s="66">
        <f>IF(OR(U131="",AND(F131="männlich",H131="Adult")),"",S131+ROUND(U131*TpM,0))</f>
        <v/>
      </c>
      <c r="X131" s="68">
        <f>IF(A131="","",IF(S131="",IF(I131="","",I131),IF(SUMIFS('Häutungen'!$D$7:$D$1006,'Häutungen'!$A$7:$A$1006,A131,'Häutungen'!$C$7:$C$1006,S131)&gt;0,SUMIFS('Häutungen'!$D$7:$D$1006,'Häutungen'!$A$7:$A$1006,A131,'Häutungen'!$C$7:$C$1006,S131),IF(I131="","",I131))))</f>
        <v/>
      </c>
      <c r="Y131" s="66">
        <f>IF(A131="","",IF(COUNTIFS('Fütterung'!$A$7:$A$2006,A131,'Fütterung'!$E$7:$E$2006,"Ja")=0,"",_xlfn.MAXIFS('Fütterung'!$C$7:$C$2006,'Fütterung'!$A$7:$A$2006,A131,'Fütterung'!$E$7:$E$2006,"Ja")))</f>
        <v/>
      </c>
      <c r="Z131" s="67">
        <f>IF(Y131="","",TODAY()-Y131)</f>
        <v/>
      </c>
      <c r="AA131" s="65">
        <f>IF(A131="","",IF(AND(F131="männlich",H131="Adult"),"Adultes Männchen",IF(AND(Z131&lt;&gt;"",N(Z131)&gt;=FutterGrenze),"Frisst nicht",IF(U131="","Zu wenig Daten",IF(V131&gt;U131*TpM*FaktorUeber,"Überfällig",IF(V131&gt;U131*TpM*FaktorBald,"Fällig","Im Plan"))))))</f>
        <v/>
      </c>
      <c r="AB131" s="69">
        <f>IF(AND(AC131=1,W131&lt;&gt;""),N(W131)+ROW()/100000,"")</f>
        <v/>
      </c>
      <c r="AC131" s="69">
        <f>IF(A131="","",IF(SUBTOTAL(103,A131)=1,1,0))</f>
        <v/>
      </c>
    </row>
    <row r="132" ht="20" customHeight="1">
      <c r="A132" s="60" t="n"/>
      <c r="B132" s="61" t="n"/>
      <c r="C132" s="61" t="n"/>
      <c r="D132" s="61" t="n"/>
      <c r="E132" s="60" t="n"/>
      <c r="F132" s="60" t="n"/>
      <c r="G132" s="60" t="n"/>
      <c r="H132" s="60" t="n"/>
      <c r="I132" s="62" t="n"/>
      <c r="J132" s="63" t="n"/>
      <c r="K132" s="61" t="n"/>
      <c r="L132" s="64" t="n"/>
      <c r="M132" s="60" t="n"/>
      <c r="N132" s="60" t="n"/>
      <c r="O132" s="60" t="n"/>
      <c r="P132" s="61" t="n"/>
      <c r="Q132" s="61" t="n"/>
      <c r="R132" s="65">
        <f>IF(A132="","",TRIM(C132&amp;" "&amp;D132))</f>
        <v/>
      </c>
      <c r="S132" s="66">
        <f>IF(A132="","",IF(COUNTIFS('Häutungen'!$A$7:$A$1006,A132,'Häutungen'!$C$7:$C$1006,"&gt;0")=0,"",_xlfn.MAXIFS('Häutungen'!$C$7:$C$1006,'Häutungen'!$A$7:$A$1006,A132)))</f>
        <v/>
      </c>
      <c r="T132" s="67">
        <f>IF(A132="","",COUNTIFS('Häutungen'!$A$7:$A$1006,A132,'Häutungen'!$C$7:$C$1006,"&gt;0"))</f>
        <v/>
      </c>
      <c r="U132" s="68">
        <f>IF(A132="","",IF(T132&lt;2,"",IFERROR(AVERAGEIFS('Häutungen'!$J$7:$J$1006,'Häutungen'!$A$7:$A$1006,A132,'Häutungen'!$K$7:$K$1006,"&lt;3",'Häutungen'!$I$7:$I$1006,"&gt;0"),"")))</f>
        <v/>
      </c>
      <c r="V132" s="67">
        <f>IF(S132="","",TODAY()-S132)</f>
        <v/>
      </c>
      <c r="W132" s="66">
        <f>IF(OR(U132="",AND(F132="männlich",H132="Adult")),"",S132+ROUND(U132*TpM,0))</f>
        <v/>
      </c>
      <c r="X132" s="68">
        <f>IF(A132="","",IF(S132="",IF(I132="","",I132),IF(SUMIFS('Häutungen'!$D$7:$D$1006,'Häutungen'!$A$7:$A$1006,A132,'Häutungen'!$C$7:$C$1006,S132)&gt;0,SUMIFS('Häutungen'!$D$7:$D$1006,'Häutungen'!$A$7:$A$1006,A132,'Häutungen'!$C$7:$C$1006,S132),IF(I132="","",I132))))</f>
        <v/>
      </c>
      <c r="Y132" s="66">
        <f>IF(A132="","",IF(COUNTIFS('Fütterung'!$A$7:$A$2006,A132,'Fütterung'!$E$7:$E$2006,"Ja")=0,"",_xlfn.MAXIFS('Fütterung'!$C$7:$C$2006,'Fütterung'!$A$7:$A$2006,A132,'Fütterung'!$E$7:$E$2006,"Ja")))</f>
        <v/>
      </c>
      <c r="Z132" s="67">
        <f>IF(Y132="","",TODAY()-Y132)</f>
        <v/>
      </c>
      <c r="AA132" s="65">
        <f>IF(A132="","",IF(AND(F132="männlich",H132="Adult"),"Adultes Männchen",IF(AND(Z132&lt;&gt;"",N(Z132)&gt;=FutterGrenze),"Frisst nicht",IF(U132="","Zu wenig Daten",IF(V132&gt;U132*TpM*FaktorUeber,"Überfällig",IF(V132&gt;U132*TpM*FaktorBald,"Fällig","Im Plan"))))))</f>
        <v/>
      </c>
      <c r="AB132" s="69">
        <f>IF(AND(AC132=1,W132&lt;&gt;""),N(W132)+ROW()/100000,"")</f>
        <v/>
      </c>
      <c r="AC132" s="69">
        <f>IF(A132="","",IF(SUBTOTAL(103,A132)=1,1,0))</f>
        <v/>
      </c>
    </row>
    <row r="133" ht="20" customHeight="1">
      <c r="A133" s="60" t="n"/>
      <c r="B133" s="61" t="n"/>
      <c r="C133" s="61" t="n"/>
      <c r="D133" s="61" t="n"/>
      <c r="E133" s="60" t="n"/>
      <c r="F133" s="60" t="n"/>
      <c r="G133" s="60" t="n"/>
      <c r="H133" s="60" t="n"/>
      <c r="I133" s="62" t="n"/>
      <c r="J133" s="63" t="n"/>
      <c r="K133" s="61" t="n"/>
      <c r="L133" s="64" t="n"/>
      <c r="M133" s="60" t="n"/>
      <c r="N133" s="60" t="n"/>
      <c r="O133" s="60" t="n"/>
      <c r="P133" s="61" t="n"/>
      <c r="Q133" s="61" t="n"/>
      <c r="R133" s="65">
        <f>IF(A133="","",TRIM(C133&amp;" "&amp;D133))</f>
        <v/>
      </c>
      <c r="S133" s="66">
        <f>IF(A133="","",IF(COUNTIFS('Häutungen'!$A$7:$A$1006,A133,'Häutungen'!$C$7:$C$1006,"&gt;0")=0,"",_xlfn.MAXIFS('Häutungen'!$C$7:$C$1006,'Häutungen'!$A$7:$A$1006,A133)))</f>
        <v/>
      </c>
      <c r="T133" s="67">
        <f>IF(A133="","",COUNTIFS('Häutungen'!$A$7:$A$1006,A133,'Häutungen'!$C$7:$C$1006,"&gt;0"))</f>
        <v/>
      </c>
      <c r="U133" s="68">
        <f>IF(A133="","",IF(T133&lt;2,"",IFERROR(AVERAGEIFS('Häutungen'!$J$7:$J$1006,'Häutungen'!$A$7:$A$1006,A133,'Häutungen'!$K$7:$K$1006,"&lt;3",'Häutungen'!$I$7:$I$1006,"&gt;0"),"")))</f>
        <v/>
      </c>
      <c r="V133" s="67">
        <f>IF(S133="","",TODAY()-S133)</f>
        <v/>
      </c>
      <c r="W133" s="66">
        <f>IF(OR(U133="",AND(F133="männlich",H133="Adult")),"",S133+ROUND(U133*TpM,0))</f>
        <v/>
      </c>
      <c r="X133" s="68">
        <f>IF(A133="","",IF(S133="",IF(I133="","",I133),IF(SUMIFS('Häutungen'!$D$7:$D$1006,'Häutungen'!$A$7:$A$1006,A133,'Häutungen'!$C$7:$C$1006,S133)&gt;0,SUMIFS('Häutungen'!$D$7:$D$1006,'Häutungen'!$A$7:$A$1006,A133,'Häutungen'!$C$7:$C$1006,S133),IF(I133="","",I133))))</f>
        <v/>
      </c>
      <c r="Y133" s="66">
        <f>IF(A133="","",IF(COUNTIFS('Fütterung'!$A$7:$A$2006,A133,'Fütterung'!$E$7:$E$2006,"Ja")=0,"",_xlfn.MAXIFS('Fütterung'!$C$7:$C$2006,'Fütterung'!$A$7:$A$2006,A133,'Fütterung'!$E$7:$E$2006,"Ja")))</f>
        <v/>
      </c>
      <c r="Z133" s="67">
        <f>IF(Y133="","",TODAY()-Y133)</f>
        <v/>
      </c>
      <c r="AA133" s="65">
        <f>IF(A133="","",IF(AND(F133="männlich",H133="Adult"),"Adultes Männchen",IF(AND(Z133&lt;&gt;"",N(Z133)&gt;=FutterGrenze),"Frisst nicht",IF(U133="","Zu wenig Daten",IF(V133&gt;U133*TpM*FaktorUeber,"Überfällig",IF(V133&gt;U133*TpM*FaktorBald,"Fällig","Im Plan"))))))</f>
        <v/>
      </c>
      <c r="AB133" s="69">
        <f>IF(AND(AC133=1,W133&lt;&gt;""),N(W133)+ROW()/100000,"")</f>
        <v/>
      </c>
      <c r="AC133" s="69">
        <f>IF(A133="","",IF(SUBTOTAL(103,A133)=1,1,0))</f>
        <v/>
      </c>
    </row>
    <row r="134" ht="20" customHeight="1">
      <c r="A134" s="60" t="n"/>
      <c r="B134" s="61" t="n"/>
      <c r="C134" s="61" t="n"/>
      <c r="D134" s="61" t="n"/>
      <c r="E134" s="60" t="n"/>
      <c r="F134" s="60" t="n"/>
      <c r="G134" s="60" t="n"/>
      <c r="H134" s="60" t="n"/>
      <c r="I134" s="62" t="n"/>
      <c r="J134" s="63" t="n"/>
      <c r="K134" s="61" t="n"/>
      <c r="L134" s="64" t="n"/>
      <c r="M134" s="60" t="n"/>
      <c r="N134" s="60" t="n"/>
      <c r="O134" s="60" t="n"/>
      <c r="P134" s="61" t="n"/>
      <c r="Q134" s="61" t="n"/>
      <c r="R134" s="65">
        <f>IF(A134="","",TRIM(C134&amp;" "&amp;D134))</f>
        <v/>
      </c>
      <c r="S134" s="66">
        <f>IF(A134="","",IF(COUNTIFS('Häutungen'!$A$7:$A$1006,A134,'Häutungen'!$C$7:$C$1006,"&gt;0")=0,"",_xlfn.MAXIFS('Häutungen'!$C$7:$C$1006,'Häutungen'!$A$7:$A$1006,A134)))</f>
        <v/>
      </c>
      <c r="T134" s="67">
        <f>IF(A134="","",COUNTIFS('Häutungen'!$A$7:$A$1006,A134,'Häutungen'!$C$7:$C$1006,"&gt;0"))</f>
        <v/>
      </c>
      <c r="U134" s="68">
        <f>IF(A134="","",IF(T134&lt;2,"",IFERROR(AVERAGEIFS('Häutungen'!$J$7:$J$1006,'Häutungen'!$A$7:$A$1006,A134,'Häutungen'!$K$7:$K$1006,"&lt;3",'Häutungen'!$I$7:$I$1006,"&gt;0"),"")))</f>
        <v/>
      </c>
      <c r="V134" s="67">
        <f>IF(S134="","",TODAY()-S134)</f>
        <v/>
      </c>
      <c r="W134" s="66">
        <f>IF(OR(U134="",AND(F134="männlich",H134="Adult")),"",S134+ROUND(U134*TpM,0))</f>
        <v/>
      </c>
      <c r="X134" s="68">
        <f>IF(A134="","",IF(S134="",IF(I134="","",I134),IF(SUMIFS('Häutungen'!$D$7:$D$1006,'Häutungen'!$A$7:$A$1006,A134,'Häutungen'!$C$7:$C$1006,S134)&gt;0,SUMIFS('Häutungen'!$D$7:$D$1006,'Häutungen'!$A$7:$A$1006,A134,'Häutungen'!$C$7:$C$1006,S134),IF(I134="","",I134))))</f>
        <v/>
      </c>
      <c r="Y134" s="66">
        <f>IF(A134="","",IF(COUNTIFS('Fütterung'!$A$7:$A$2006,A134,'Fütterung'!$E$7:$E$2006,"Ja")=0,"",_xlfn.MAXIFS('Fütterung'!$C$7:$C$2006,'Fütterung'!$A$7:$A$2006,A134,'Fütterung'!$E$7:$E$2006,"Ja")))</f>
        <v/>
      </c>
      <c r="Z134" s="67">
        <f>IF(Y134="","",TODAY()-Y134)</f>
        <v/>
      </c>
      <c r="AA134" s="65">
        <f>IF(A134="","",IF(AND(F134="männlich",H134="Adult"),"Adultes Männchen",IF(AND(Z134&lt;&gt;"",N(Z134)&gt;=FutterGrenze),"Frisst nicht",IF(U134="","Zu wenig Daten",IF(V134&gt;U134*TpM*FaktorUeber,"Überfällig",IF(V134&gt;U134*TpM*FaktorBald,"Fällig","Im Plan"))))))</f>
        <v/>
      </c>
      <c r="AB134" s="69">
        <f>IF(AND(AC134=1,W134&lt;&gt;""),N(W134)+ROW()/100000,"")</f>
        <v/>
      </c>
      <c r="AC134" s="69">
        <f>IF(A134="","",IF(SUBTOTAL(103,A134)=1,1,0))</f>
        <v/>
      </c>
    </row>
    <row r="135" ht="20" customHeight="1">
      <c r="A135" s="60" t="n"/>
      <c r="B135" s="61" t="n"/>
      <c r="C135" s="61" t="n"/>
      <c r="D135" s="61" t="n"/>
      <c r="E135" s="60" t="n"/>
      <c r="F135" s="60" t="n"/>
      <c r="G135" s="60" t="n"/>
      <c r="H135" s="60" t="n"/>
      <c r="I135" s="62" t="n"/>
      <c r="J135" s="63" t="n"/>
      <c r="K135" s="61" t="n"/>
      <c r="L135" s="64" t="n"/>
      <c r="M135" s="60" t="n"/>
      <c r="N135" s="60" t="n"/>
      <c r="O135" s="60" t="n"/>
      <c r="P135" s="61" t="n"/>
      <c r="Q135" s="61" t="n"/>
      <c r="R135" s="65">
        <f>IF(A135="","",TRIM(C135&amp;" "&amp;D135))</f>
        <v/>
      </c>
      <c r="S135" s="66">
        <f>IF(A135="","",IF(COUNTIFS('Häutungen'!$A$7:$A$1006,A135,'Häutungen'!$C$7:$C$1006,"&gt;0")=0,"",_xlfn.MAXIFS('Häutungen'!$C$7:$C$1006,'Häutungen'!$A$7:$A$1006,A135)))</f>
        <v/>
      </c>
      <c r="T135" s="67">
        <f>IF(A135="","",COUNTIFS('Häutungen'!$A$7:$A$1006,A135,'Häutungen'!$C$7:$C$1006,"&gt;0"))</f>
        <v/>
      </c>
      <c r="U135" s="68">
        <f>IF(A135="","",IF(T135&lt;2,"",IFERROR(AVERAGEIFS('Häutungen'!$J$7:$J$1006,'Häutungen'!$A$7:$A$1006,A135,'Häutungen'!$K$7:$K$1006,"&lt;3",'Häutungen'!$I$7:$I$1006,"&gt;0"),"")))</f>
        <v/>
      </c>
      <c r="V135" s="67">
        <f>IF(S135="","",TODAY()-S135)</f>
        <v/>
      </c>
      <c r="W135" s="66">
        <f>IF(OR(U135="",AND(F135="männlich",H135="Adult")),"",S135+ROUND(U135*TpM,0))</f>
        <v/>
      </c>
      <c r="X135" s="68">
        <f>IF(A135="","",IF(S135="",IF(I135="","",I135),IF(SUMIFS('Häutungen'!$D$7:$D$1006,'Häutungen'!$A$7:$A$1006,A135,'Häutungen'!$C$7:$C$1006,S135)&gt;0,SUMIFS('Häutungen'!$D$7:$D$1006,'Häutungen'!$A$7:$A$1006,A135,'Häutungen'!$C$7:$C$1006,S135),IF(I135="","",I135))))</f>
        <v/>
      </c>
      <c r="Y135" s="66">
        <f>IF(A135="","",IF(COUNTIFS('Fütterung'!$A$7:$A$2006,A135,'Fütterung'!$E$7:$E$2006,"Ja")=0,"",_xlfn.MAXIFS('Fütterung'!$C$7:$C$2006,'Fütterung'!$A$7:$A$2006,A135,'Fütterung'!$E$7:$E$2006,"Ja")))</f>
        <v/>
      </c>
      <c r="Z135" s="67">
        <f>IF(Y135="","",TODAY()-Y135)</f>
        <v/>
      </c>
      <c r="AA135" s="65">
        <f>IF(A135="","",IF(AND(F135="männlich",H135="Adult"),"Adultes Männchen",IF(AND(Z135&lt;&gt;"",N(Z135)&gt;=FutterGrenze),"Frisst nicht",IF(U135="","Zu wenig Daten",IF(V135&gt;U135*TpM*FaktorUeber,"Überfällig",IF(V135&gt;U135*TpM*FaktorBald,"Fällig","Im Plan"))))))</f>
        <v/>
      </c>
      <c r="AB135" s="69">
        <f>IF(AND(AC135=1,W135&lt;&gt;""),N(W135)+ROW()/100000,"")</f>
        <v/>
      </c>
      <c r="AC135" s="69">
        <f>IF(A135="","",IF(SUBTOTAL(103,A135)=1,1,0))</f>
        <v/>
      </c>
    </row>
    <row r="136" ht="20" customHeight="1">
      <c r="A136" s="60" t="n"/>
      <c r="B136" s="61" t="n"/>
      <c r="C136" s="61" t="n"/>
      <c r="D136" s="61" t="n"/>
      <c r="E136" s="60" t="n"/>
      <c r="F136" s="60" t="n"/>
      <c r="G136" s="60" t="n"/>
      <c r="H136" s="60" t="n"/>
      <c r="I136" s="62" t="n"/>
      <c r="J136" s="63" t="n"/>
      <c r="K136" s="61" t="n"/>
      <c r="L136" s="64" t="n"/>
      <c r="M136" s="60" t="n"/>
      <c r="N136" s="60" t="n"/>
      <c r="O136" s="60" t="n"/>
      <c r="P136" s="61" t="n"/>
      <c r="Q136" s="61" t="n"/>
      <c r="R136" s="65">
        <f>IF(A136="","",TRIM(C136&amp;" "&amp;D136))</f>
        <v/>
      </c>
      <c r="S136" s="66">
        <f>IF(A136="","",IF(COUNTIFS('Häutungen'!$A$7:$A$1006,A136,'Häutungen'!$C$7:$C$1006,"&gt;0")=0,"",_xlfn.MAXIFS('Häutungen'!$C$7:$C$1006,'Häutungen'!$A$7:$A$1006,A136)))</f>
        <v/>
      </c>
      <c r="T136" s="67">
        <f>IF(A136="","",COUNTIFS('Häutungen'!$A$7:$A$1006,A136,'Häutungen'!$C$7:$C$1006,"&gt;0"))</f>
        <v/>
      </c>
      <c r="U136" s="68">
        <f>IF(A136="","",IF(T136&lt;2,"",IFERROR(AVERAGEIFS('Häutungen'!$J$7:$J$1006,'Häutungen'!$A$7:$A$1006,A136,'Häutungen'!$K$7:$K$1006,"&lt;3",'Häutungen'!$I$7:$I$1006,"&gt;0"),"")))</f>
        <v/>
      </c>
      <c r="V136" s="67">
        <f>IF(S136="","",TODAY()-S136)</f>
        <v/>
      </c>
      <c r="W136" s="66">
        <f>IF(OR(U136="",AND(F136="männlich",H136="Adult")),"",S136+ROUND(U136*TpM,0))</f>
        <v/>
      </c>
      <c r="X136" s="68">
        <f>IF(A136="","",IF(S136="",IF(I136="","",I136),IF(SUMIFS('Häutungen'!$D$7:$D$1006,'Häutungen'!$A$7:$A$1006,A136,'Häutungen'!$C$7:$C$1006,S136)&gt;0,SUMIFS('Häutungen'!$D$7:$D$1006,'Häutungen'!$A$7:$A$1006,A136,'Häutungen'!$C$7:$C$1006,S136),IF(I136="","",I136))))</f>
        <v/>
      </c>
      <c r="Y136" s="66">
        <f>IF(A136="","",IF(COUNTIFS('Fütterung'!$A$7:$A$2006,A136,'Fütterung'!$E$7:$E$2006,"Ja")=0,"",_xlfn.MAXIFS('Fütterung'!$C$7:$C$2006,'Fütterung'!$A$7:$A$2006,A136,'Fütterung'!$E$7:$E$2006,"Ja")))</f>
        <v/>
      </c>
      <c r="Z136" s="67">
        <f>IF(Y136="","",TODAY()-Y136)</f>
        <v/>
      </c>
      <c r="AA136" s="65">
        <f>IF(A136="","",IF(AND(F136="männlich",H136="Adult"),"Adultes Männchen",IF(AND(Z136&lt;&gt;"",N(Z136)&gt;=FutterGrenze),"Frisst nicht",IF(U136="","Zu wenig Daten",IF(V136&gt;U136*TpM*FaktorUeber,"Überfällig",IF(V136&gt;U136*TpM*FaktorBald,"Fällig","Im Plan"))))))</f>
        <v/>
      </c>
      <c r="AB136" s="69">
        <f>IF(AND(AC136=1,W136&lt;&gt;""),N(W136)+ROW()/100000,"")</f>
        <v/>
      </c>
      <c r="AC136" s="69">
        <f>IF(A136="","",IF(SUBTOTAL(103,A136)=1,1,0))</f>
        <v/>
      </c>
    </row>
    <row r="137" ht="20" customHeight="1">
      <c r="A137" s="60" t="n"/>
      <c r="B137" s="61" t="n"/>
      <c r="C137" s="61" t="n"/>
      <c r="D137" s="61" t="n"/>
      <c r="E137" s="60" t="n"/>
      <c r="F137" s="60" t="n"/>
      <c r="G137" s="60" t="n"/>
      <c r="H137" s="60" t="n"/>
      <c r="I137" s="62" t="n"/>
      <c r="J137" s="63" t="n"/>
      <c r="K137" s="61" t="n"/>
      <c r="L137" s="64" t="n"/>
      <c r="M137" s="60" t="n"/>
      <c r="N137" s="60" t="n"/>
      <c r="O137" s="60" t="n"/>
      <c r="P137" s="61" t="n"/>
      <c r="Q137" s="61" t="n"/>
      <c r="R137" s="65">
        <f>IF(A137="","",TRIM(C137&amp;" "&amp;D137))</f>
        <v/>
      </c>
      <c r="S137" s="66">
        <f>IF(A137="","",IF(COUNTIFS('Häutungen'!$A$7:$A$1006,A137,'Häutungen'!$C$7:$C$1006,"&gt;0")=0,"",_xlfn.MAXIFS('Häutungen'!$C$7:$C$1006,'Häutungen'!$A$7:$A$1006,A137)))</f>
        <v/>
      </c>
      <c r="T137" s="67">
        <f>IF(A137="","",COUNTIFS('Häutungen'!$A$7:$A$1006,A137,'Häutungen'!$C$7:$C$1006,"&gt;0"))</f>
        <v/>
      </c>
      <c r="U137" s="68">
        <f>IF(A137="","",IF(T137&lt;2,"",IFERROR(AVERAGEIFS('Häutungen'!$J$7:$J$1006,'Häutungen'!$A$7:$A$1006,A137,'Häutungen'!$K$7:$K$1006,"&lt;3",'Häutungen'!$I$7:$I$1006,"&gt;0"),"")))</f>
        <v/>
      </c>
      <c r="V137" s="67">
        <f>IF(S137="","",TODAY()-S137)</f>
        <v/>
      </c>
      <c r="W137" s="66">
        <f>IF(OR(U137="",AND(F137="männlich",H137="Adult")),"",S137+ROUND(U137*TpM,0))</f>
        <v/>
      </c>
      <c r="X137" s="68">
        <f>IF(A137="","",IF(S137="",IF(I137="","",I137),IF(SUMIFS('Häutungen'!$D$7:$D$1006,'Häutungen'!$A$7:$A$1006,A137,'Häutungen'!$C$7:$C$1006,S137)&gt;0,SUMIFS('Häutungen'!$D$7:$D$1006,'Häutungen'!$A$7:$A$1006,A137,'Häutungen'!$C$7:$C$1006,S137),IF(I137="","",I137))))</f>
        <v/>
      </c>
      <c r="Y137" s="66">
        <f>IF(A137="","",IF(COUNTIFS('Fütterung'!$A$7:$A$2006,A137,'Fütterung'!$E$7:$E$2006,"Ja")=0,"",_xlfn.MAXIFS('Fütterung'!$C$7:$C$2006,'Fütterung'!$A$7:$A$2006,A137,'Fütterung'!$E$7:$E$2006,"Ja")))</f>
        <v/>
      </c>
      <c r="Z137" s="67">
        <f>IF(Y137="","",TODAY()-Y137)</f>
        <v/>
      </c>
      <c r="AA137" s="65">
        <f>IF(A137="","",IF(AND(F137="männlich",H137="Adult"),"Adultes Männchen",IF(AND(Z137&lt;&gt;"",N(Z137)&gt;=FutterGrenze),"Frisst nicht",IF(U137="","Zu wenig Daten",IF(V137&gt;U137*TpM*FaktorUeber,"Überfällig",IF(V137&gt;U137*TpM*FaktorBald,"Fällig","Im Plan"))))))</f>
        <v/>
      </c>
      <c r="AB137" s="69">
        <f>IF(AND(AC137=1,W137&lt;&gt;""),N(W137)+ROW()/100000,"")</f>
        <v/>
      </c>
      <c r="AC137" s="69">
        <f>IF(A137="","",IF(SUBTOTAL(103,A137)=1,1,0))</f>
        <v/>
      </c>
    </row>
    <row r="138" ht="20" customHeight="1">
      <c r="A138" s="60" t="n"/>
      <c r="B138" s="61" t="n"/>
      <c r="C138" s="61" t="n"/>
      <c r="D138" s="61" t="n"/>
      <c r="E138" s="60" t="n"/>
      <c r="F138" s="60" t="n"/>
      <c r="G138" s="60" t="n"/>
      <c r="H138" s="60" t="n"/>
      <c r="I138" s="62" t="n"/>
      <c r="J138" s="63" t="n"/>
      <c r="K138" s="61" t="n"/>
      <c r="L138" s="64" t="n"/>
      <c r="M138" s="60" t="n"/>
      <c r="N138" s="60" t="n"/>
      <c r="O138" s="60" t="n"/>
      <c r="P138" s="61" t="n"/>
      <c r="Q138" s="61" t="n"/>
      <c r="R138" s="65">
        <f>IF(A138="","",TRIM(C138&amp;" "&amp;D138))</f>
        <v/>
      </c>
      <c r="S138" s="66">
        <f>IF(A138="","",IF(COUNTIFS('Häutungen'!$A$7:$A$1006,A138,'Häutungen'!$C$7:$C$1006,"&gt;0")=0,"",_xlfn.MAXIFS('Häutungen'!$C$7:$C$1006,'Häutungen'!$A$7:$A$1006,A138)))</f>
        <v/>
      </c>
      <c r="T138" s="67">
        <f>IF(A138="","",COUNTIFS('Häutungen'!$A$7:$A$1006,A138,'Häutungen'!$C$7:$C$1006,"&gt;0"))</f>
        <v/>
      </c>
      <c r="U138" s="68">
        <f>IF(A138="","",IF(T138&lt;2,"",IFERROR(AVERAGEIFS('Häutungen'!$J$7:$J$1006,'Häutungen'!$A$7:$A$1006,A138,'Häutungen'!$K$7:$K$1006,"&lt;3",'Häutungen'!$I$7:$I$1006,"&gt;0"),"")))</f>
        <v/>
      </c>
      <c r="V138" s="67">
        <f>IF(S138="","",TODAY()-S138)</f>
        <v/>
      </c>
      <c r="W138" s="66">
        <f>IF(OR(U138="",AND(F138="männlich",H138="Adult")),"",S138+ROUND(U138*TpM,0))</f>
        <v/>
      </c>
      <c r="X138" s="68">
        <f>IF(A138="","",IF(S138="",IF(I138="","",I138),IF(SUMIFS('Häutungen'!$D$7:$D$1006,'Häutungen'!$A$7:$A$1006,A138,'Häutungen'!$C$7:$C$1006,S138)&gt;0,SUMIFS('Häutungen'!$D$7:$D$1006,'Häutungen'!$A$7:$A$1006,A138,'Häutungen'!$C$7:$C$1006,S138),IF(I138="","",I138))))</f>
        <v/>
      </c>
      <c r="Y138" s="66">
        <f>IF(A138="","",IF(COUNTIFS('Fütterung'!$A$7:$A$2006,A138,'Fütterung'!$E$7:$E$2006,"Ja")=0,"",_xlfn.MAXIFS('Fütterung'!$C$7:$C$2006,'Fütterung'!$A$7:$A$2006,A138,'Fütterung'!$E$7:$E$2006,"Ja")))</f>
        <v/>
      </c>
      <c r="Z138" s="67">
        <f>IF(Y138="","",TODAY()-Y138)</f>
        <v/>
      </c>
      <c r="AA138" s="65">
        <f>IF(A138="","",IF(AND(F138="männlich",H138="Adult"),"Adultes Männchen",IF(AND(Z138&lt;&gt;"",N(Z138)&gt;=FutterGrenze),"Frisst nicht",IF(U138="","Zu wenig Daten",IF(V138&gt;U138*TpM*FaktorUeber,"Überfällig",IF(V138&gt;U138*TpM*FaktorBald,"Fällig","Im Plan"))))))</f>
        <v/>
      </c>
      <c r="AB138" s="69">
        <f>IF(AND(AC138=1,W138&lt;&gt;""),N(W138)+ROW()/100000,"")</f>
        <v/>
      </c>
      <c r="AC138" s="69">
        <f>IF(A138="","",IF(SUBTOTAL(103,A138)=1,1,0))</f>
        <v/>
      </c>
    </row>
    <row r="139" ht="20" customHeight="1">
      <c r="A139" s="60" t="n"/>
      <c r="B139" s="61" t="n"/>
      <c r="C139" s="61" t="n"/>
      <c r="D139" s="61" t="n"/>
      <c r="E139" s="60" t="n"/>
      <c r="F139" s="60" t="n"/>
      <c r="G139" s="60" t="n"/>
      <c r="H139" s="60" t="n"/>
      <c r="I139" s="62" t="n"/>
      <c r="J139" s="63" t="n"/>
      <c r="K139" s="61" t="n"/>
      <c r="L139" s="64" t="n"/>
      <c r="M139" s="60" t="n"/>
      <c r="N139" s="60" t="n"/>
      <c r="O139" s="60" t="n"/>
      <c r="P139" s="61" t="n"/>
      <c r="Q139" s="61" t="n"/>
      <c r="R139" s="65">
        <f>IF(A139="","",TRIM(C139&amp;" "&amp;D139))</f>
        <v/>
      </c>
      <c r="S139" s="66">
        <f>IF(A139="","",IF(COUNTIFS('Häutungen'!$A$7:$A$1006,A139,'Häutungen'!$C$7:$C$1006,"&gt;0")=0,"",_xlfn.MAXIFS('Häutungen'!$C$7:$C$1006,'Häutungen'!$A$7:$A$1006,A139)))</f>
        <v/>
      </c>
      <c r="T139" s="67">
        <f>IF(A139="","",COUNTIFS('Häutungen'!$A$7:$A$1006,A139,'Häutungen'!$C$7:$C$1006,"&gt;0"))</f>
        <v/>
      </c>
      <c r="U139" s="68">
        <f>IF(A139="","",IF(T139&lt;2,"",IFERROR(AVERAGEIFS('Häutungen'!$J$7:$J$1006,'Häutungen'!$A$7:$A$1006,A139,'Häutungen'!$K$7:$K$1006,"&lt;3",'Häutungen'!$I$7:$I$1006,"&gt;0"),"")))</f>
        <v/>
      </c>
      <c r="V139" s="67">
        <f>IF(S139="","",TODAY()-S139)</f>
        <v/>
      </c>
      <c r="W139" s="66">
        <f>IF(OR(U139="",AND(F139="männlich",H139="Adult")),"",S139+ROUND(U139*TpM,0))</f>
        <v/>
      </c>
      <c r="X139" s="68">
        <f>IF(A139="","",IF(S139="",IF(I139="","",I139),IF(SUMIFS('Häutungen'!$D$7:$D$1006,'Häutungen'!$A$7:$A$1006,A139,'Häutungen'!$C$7:$C$1006,S139)&gt;0,SUMIFS('Häutungen'!$D$7:$D$1006,'Häutungen'!$A$7:$A$1006,A139,'Häutungen'!$C$7:$C$1006,S139),IF(I139="","",I139))))</f>
        <v/>
      </c>
      <c r="Y139" s="66">
        <f>IF(A139="","",IF(COUNTIFS('Fütterung'!$A$7:$A$2006,A139,'Fütterung'!$E$7:$E$2006,"Ja")=0,"",_xlfn.MAXIFS('Fütterung'!$C$7:$C$2006,'Fütterung'!$A$7:$A$2006,A139,'Fütterung'!$E$7:$E$2006,"Ja")))</f>
        <v/>
      </c>
      <c r="Z139" s="67">
        <f>IF(Y139="","",TODAY()-Y139)</f>
        <v/>
      </c>
      <c r="AA139" s="65">
        <f>IF(A139="","",IF(AND(F139="männlich",H139="Adult"),"Adultes Männchen",IF(AND(Z139&lt;&gt;"",N(Z139)&gt;=FutterGrenze),"Frisst nicht",IF(U139="","Zu wenig Daten",IF(V139&gt;U139*TpM*FaktorUeber,"Überfällig",IF(V139&gt;U139*TpM*FaktorBald,"Fällig","Im Plan"))))))</f>
        <v/>
      </c>
      <c r="AB139" s="69">
        <f>IF(AND(AC139=1,W139&lt;&gt;""),N(W139)+ROW()/100000,"")</f>
        <v/>
      </c>
      <c r="AC139" s="69">
        <f>IF(A139="","",IF(SUBTOTAL(103,A139)=1,1,0))</f>
        <v/>
      </c>
    </row>
    <row r="140" ht="20" customHeight="1">
      <c r="A140" s="60" t="n"/>
      <c r="B140" s="61" t="n"/>
      <c r="C140" s="61" t="n"/>
      <c r="D140" s="61" t="n"/>
      <c r="E140" s="60" t="n"/>
      <c r="F140" s="60" t="n"/>
      <c r="G140" s="60" t="n"/>
      <c r="H140" s="60" t="n"/>
      <c r="I140" s="62" t="n"/>
      <c r="J140" s="63" t="n"/>
      <c r="K140" s="61" t="n"/>
      <c r="L140" s="64" t="n"/>
      <c r="M140" s="60" t="n"/>
      <c r="N140" s="60" t="n"/>
      <c r="O140" s="60" t="n"/>
      <c r="P140" s="61" t="n"/>
      <c r="Q140" s="61" t="n"/>
      <c r="R140" s="65">
        <f>IF(A140="","",TRIM(C140&amp;" "&amp;D140))</f>
        <v/>
      </c>
      <c r="S140" s="66">
        <f>IF(A140="","",IF(COUNTIFS('Häutungen'!$A$7:$A$1006,A140,'Häutungen'!$C$7:$C$1006,"&gt;0")=0,"",_xlfn.MAXIFS('Häutungen'!$C$7:$C$1006,'Häutungen'!$A$7:$A$1006,A140)))</f>
        <v/>
      </c>
      <c r="T140" s="67">
        <f>IF(A140="","",COUNTIFS('Häutungen'!$A$7:$A$1006,A140,'Häutungen'!$C$7:$C$1006,"&gt;0"))</f>
        <v/>
      </c>
      <c r="U140" s="68">
        <f>IF(A140="","",IF(T140&lt;2,"",IFERROR(AVERAGEIFS('Häutungen'!$J$7:$J$1006,'Häutungen'!$A$7:$A$1006,A140,'Häutungen'!$K$7:$K$1006,"&lt;3",'Häutungen'!$I$7:$I$1006,"&gt;0"),"")))</f>
        <v/>
      </c>
      <c r="V140" s="67">
        <f>IF(S140="","",TODAY()-S140)</f>
        <v/>
      </c>
      <c r="W140" s="66">
        <f>IF(OR(U140="",AND(F140="männlich",H140="Adult")),"",S140+ROUND(U140*TpM,0))</f>
        <v/>
      </c>
      <c r="X140" s="68">
        <f>IF(A140="","",IF(S140="",IF(I140="","",I140),IF(SUMIFS('Häutungen'!$D$7:$D$1006,'Häutungen'!$A$7:$A$1006,A140,'Häutungen'!$C$7:$C$1006,S140)&gt;0,SUMIFS('Häutungen'!$D$7:$D$1006,'Häutungen'!$A$7:$A$1006,A140,'Häutungen'!$C$7:$C$1006,S140),IF(I140="","",I140))))</f>
        <v/>
      </c>
      <c r="Y140" s="66">
        <f>IF(A140="","",IF(COUNTIFS('Fütterung'!$A$7:$A$2006,A140,'Fütterung'!$E$7:$E$2006,"Ja")=0,"",_xlfn.MAXIFS('Fütterung'!$C$7:$C$2006,'Fütterung'!$A$7:$A$2006,A140,'Fütterung'!$E$7:$E$2006,"Ja")))</f>
        <v/>
      </c>
      <c r="Z140" s="67">
        <f>IF(Y140="","",TODAY()-Y140)</f>
        <v/>
      </c>
      <c r="AA140" s="65">
        <f>IF(A140="","",IF(AND(F140="männlich",H140="Adult"),"Adultes Männchen",IF(AND(Z140&lt;&gt;"",N(Z140)&gt;=FutterGrenze),"Frisst nicht",IF(U140="","Zu wenig Daten",IF(V140&gt;U140*TpM*FaktorUeber,"Überfällig",IF(V140&gt;U140*TpM*FaktorBald,"Fällig","Im Plan"))))))</f>
        <v/>
      </c>
      <c r="AB140" s="69">
        <f>IF(AND(AC140=1,W140&lt;&gt;""),N(W140)+ROW()/100000,"")</f>
        <v/>
      </c>
      <c r="AC140" s="69">
        <f>IF(A140="","",IF(SUBTOTAL(103,A140)=1,1,0))</f>
        <v/>
      </c>
    </row>
    <row r="141" ht="20" customHeight="1">
      <c r="A141" s="60" t="n"/>
      <c r="B141" s="61" t="n"/>
      <c r="C141" s="61" t="n"/>
      <c r="D141" s="61" t="n"/>
      <c r="E141" s="60" t="n"/>
      <c r="F141" s="60" t="n"/>
      <c r="G141" s="60" t="n"/>
      <c r="H141" s="60" t="n"/>
      <c r="I141" s="62" t="n"/>
      <c r="J141" s="63" t="n"/>
      <c r="K141" s="61" t="n"/>
      <c r="L141" s="64" t="n"/>
      <c r="M141" s="60" t="n"/>
      <c r="N141" s="60" t="n"/>
      <c r="O141" s="60" t="n"/>
      <c r="P141" s="61" t="n"/>
      <c r="Q141" s="61" t="n"/>
      <c r="R141" s="65">
        <f>IF(A141="","",TRIM(C141&amp;" "&amp;D141))</f>
        <v/>
      </c>
      <c r="S141" s="66">
        <f>IF(A141="","",IF(COUNTIFS('Häutungen'!$A$7:$A$1006,A141,'Häutungen'!$C$7:$C$1006,"&gt;0")=0,"",_xlfn.MAXIFS('Häutungen'!$C$7:$C$1006,'Häutungen'!$A$7:$A$1006,A141)))</f>
        <v/>
      </c>
      <c r="T141" s="67">
        <f>IF(A141="","",COUNTIFS('Häutungen'!$A$7:$A$1006,A141,'Häutungen'!$C$7:$C$1006,"&gt;0"))</f>
        <v/>
      </c>
      <c r="U141" s="68">
        <f>IF(A141="","",IF(T141&lt;2,"",IFERROR(AVERAGEIFS('Häutungen'!$J$7:$J$1006,'Häutungen'!$A$7:$A$1006,A141,'Häutungen'!$K$7:$K$1006,"&lt;3",'Häutungen'!$I$7:$I$1006,"&gt;0"),"")))</f>
        <v/>
      </c>
      <c r="V141" s="67">
        <f>IF(S141="","",TODAY()-S141)</f>
        <v/>
      </c>
      <c r="W141" s="66">
        <f>IF(OR(U141="",AND(F141="männlich",H141="Adult")),"",S141+ROUND(U141*TpM,0))</f>
        <v/>
      </c>
      <c r="X141" s="68">
        <f>IF(A141="","",IF(S141="",IF(I141="","",I141),IF(SUMIFS('Häutungen'!$D$7:$D$1006,'Häutungen'!$A$7:$A$1006,A141,'Häutungen'!$C$7:$C$1006,S141)&gt;0,SUMIFS('Häutungen'!$D$7:$D$1006,'Häutungen'!$A$7:$A$1006,A141,'Häutungen'!$C$7:$C$1006,S141),IF(I141="","",I141))))</f>
        <v/>
      </c>
      <c r="Y141" s="66">
        <f>IF(A141="","",IF(COUNTIFS('Fütterung'!$A$7:$A$2006,A141,'Fütterung'!$E$7:$E$2006,"Ja")=0,"",_xlfn.MAXIFS('Fütterung'!$C$7:$C$2006,'Fütterung'!$A$7:$A$2006,A141,'Fütterung'!$E$7:$E$2006,"Ja")))</f>
        <v/>
      </c>
      <c r="Z141" s="67">
        <f>IF(Y141="","",TODAY()-Y141)</f>
        <v/>
      </c>
      <c r="AA141" s="65">
        <f>IF(A141="","",IF(AND(F141="männlich",H141="Adult"),"Adultes Männchen",IF(AND(Z141&lt;&gt;"",N(Z141)&gt;=FutterGrenze),"Frisst nicht",IF(U141="","Zu wenig Daten",IF(V141&gt;U141*TpM*FaktorUeber,"Überfällig",IF(V141&gt;U141*TpM*FaktorBald,"Fällig","Im Plan"))))))</f>
        <v/>
      </c>
      <c r="AB141" s="69">
        <f>IF(AND(AC141=1,W141&lt;&gt;""),N(W141)+ROW()/100000,"")</f>
        <v/>
      </c>
      <c r="AC141" s="69">
        <f>IF(A141="","",IF(SUBTOTAL(103,A141)=1,1,0))</f>
        <v/>
      </c>
    </row>
    <row r="142" ht="20" customHeight="1">
      <c r="A142" s="60" t="n"/>
      <c r="B142" s="61" t="n"/>
      <c r="C142" s="61" t="n"/>
      <c r="D142" s="61" t="n"/>
      <c r="E142" s="60" t="n"/>
      <c r="F142" s="60" t="n"/>
      <c r="G142" s="60" t="n"/>
      <c r="H142" s="60" t="n"/>
      <c r="I142" s="62" t="n"/>
      <c r="J142" s="63" t="n"/>
      <c r="K142" s="61" t="n"/>
      <c r="L142" s="64" t="n"/>
      <c r="M142" s="60" t="n"/>
      <c r="N142" s="60" t="n"/>
      <c r="O142" s="60" t="n"/>
      <c r="P142" s="61" t="n"/>
      <c r="Q142" s="61" t="n"/>
      <c r="R142" s="65">
        <f>IF(A142="","",TRIM(C142&amp;" "&amp;D142))</f>
        <v/>
      </c>
      <c r="S142" s="66">
        <f>IF(A142="","",IF(COUNTIFS('Häutungen'!$A$7:$A$1006,A142,'Häutungen'!$C$7:$C$1006,"&gt;0")=0,"",_xlfn.MAXIFS('Häutungen'!$C$7:$C$1006,'Häutungen'!$A$7:$A$1006,A142)))</f>
        <v/>
      </c>
      <c r="T142" s="67">
        <f>IF(A142="","",COUNTIFS('Häutungen'!$A$7:$A$1006,A142,'Häutungen'!$C$7:$C$1006,"&gt;0"))</f>
        <v/>
      </c>
      <c r="U142" s="68">
        <f>IF(A142="","",IF(T142&lt;2,"",IFERROR(AVERAGEIFS('Häutungen'!$J$7:$J$1006,'Häutungen'!$A$7:$A$1006,A142,'Häutungen'!$K$7:$K$1006,"&lt;3",'Häutungen'!$I$7:$I$1006,"&gt;0"),"")))</f>
        <v/>
      </c>
      <c r="V142" s="67">
        <f>IF(S142="","",TODAY()-S142)</f>
        <v/>
      </c>
      <c r="W142" s="66">
        <f>IF(OR(U142="",AND(F142="männlich",H142="Adult")),"",S142+ROUND(U142*TpM,0))</f>
        <v/>
      </c>
      <c r="X142" s="68">
        <f>IF(A142="","",IF(S142="",IF(I142="","",I142),IF(SUMIFS('Häutungen'!$D$7:$D$1006,'Häutungen'!$A$7:$A$1006,A142,'Häutungen'!$C$7:$C$1006,S142)&gt;0,SUMIFS('Häutungen'!$D$7:$D$1006,'Häutungen'!$A$7:$A$1006,A142,'Häutungen'!$C$7:$C$1006,S142),IF(I142="","",I142))))</f>
        <v/>
      </c>
      <c r="Y142" s="66">
        <f>IF(A142="","",IF(COUNTIFS('Fütterung'!$A$7:$A$2006,A142,'Fütterung'!$E$7:$E$2006,"Ja")=0,"",_xlfn.MAXIFS('Fütterung'!$C$7:$C$2006,'Fütterung'!$A$7:$A$2006,A142,'Fütterung'!$E$7:$E$2006,"Ja")))</f>
        <v/>
      </c>
      <c r="Z142" s="67">
        <f>IF(Y142="","",TODAY()-Y142)</f>
        <v/>
      </c>
      <c r="AA142" s="65">
        <f>IF(A142="","",IF(AND(F142="männlich",H142="Adult"),"Adultes Männchen",IF(AND(Z142&lt;&gt;"",N(Z142)&gt;=FutterGrenze),"Frisst nicht",IF(U142="","Zu wenig Daten",IF(V142&gt;U142*TpM*FaktorUeber,"Überfällig",IF(V142&gt;U142*TpM*FaktorBald,"Fällig","Im Plan"))))))</f>
        <v/>
      </c>
      <c r="AB142" s="69">
        <f>IF(AND(AC142=1,W142&lt;&gt;""),N(W142)+ROW()/100000,"")</f>
        <v/>
      </c>
      <c r="AC142" s="69">
        <f>IF(A142="","",IF(SUBTOTAL(103,A142)=1,1,0))</f>
        <v/>
      </c>
    </row>
    <row r="143" ht="20" customHeight="1">
      <c r="A143" s="60" t="n"/>
      <c r="B143" s="61" t="n"/>
      <c r="C143" s="61" t="n"/>
      <c r="D143" s="61" t="n"/>
      <c r="E143" s="60" t="n"/>
      <c r="F143" s="60" t="n"/>
      <c r="G143" s="60" t="n"/>
      <c r="H143" s="60" t="n"/>
      <c r="I143" s="62" t="n"/>
      <c r="J143" s="63" t="n"/>
      <c r="K143" s="61" t="n"/>
      <c r="L143" s="64" t="n"/>
      <c r="M143" s="60" t="n"/>
      <c r="N143" s="60" t="n"/>
      <c r="O143" s="60" t="n"/>
      <c r="P143" s="61" t="n"/>
      <c r="Q143" s="61" t="n"/>
      <c r="R143" s="65">
        <f>IF(A143="","",TRIM(C143&amp;" "&amp;D143))</f>
        <v/>
      </c>
      <c r="S143" s="66">
        <f>IF(A143="","",IF(COUNTIFS('Häutungen'!$A$7:$A$1006,A143,'Häutungen'!$C$7:$C$1006,"&gt;0")=0,"",_xlfn.MAXIFS('Häutungen'!$C$7:$C$1006,'Häutungen'!$A$7:$A$1006,A143)))</f>
        <v/>
      </c>
      <c r="T143" s="67">
        <f>IF(A143="","",COUNTIFS('Häutungen'!$A$7:$A$1006,A143,'Häutungen'!$C$7:$C$1006,"&gt;0"))</f>
        <v/>
      </c>
      <c r="U143" s="68">
        <f>IF(A143="","",IF(T143&lt;2,"",IFERROR(AVERAGEIFS('Häutungen'!$J$7:$J$1006,'Häutungen'!$A$7:$A$1006,A143,'Häutungen'!$K$7:$K$1006,"&lt;3",'Häutungen'!$I$7:$I$1006,"&gt;0"),"")))</f>
        <v/>
      </c>
      <c r="V143" s="67">
        <f>IF(S143="","",TODAY()-S143)</f>
        <v/>
      </c>
      <c r="W143" s="66">
        <f>IF(OR(U143="",AND(F143="männlich",H143="Adult")),"",S143+ROUND(U143*TpM,0))</f>
        <v/>
      </c>
      <c r="X143" s="68">
        <f>IF(A143="","",IF(S143="",IF(I143="","",I143),IF(SUMIFS('Häutungen'!$D$7:$D$1006,'Häutungen'!$A$7:$A$1006,A143,'Häutungen'!$C$7:$C$1006,S143)&gt;0,SUMIFS('Häutungen'!$D$7:$D$1006,'Häutungen'!$A$7:$A$1006,A143,'Häutungen'!$C$7:$C$1006,S143),IF(I143="","",I143))))</f>
        <v/>
      </c>
      <c r="Y143" s="66">
        <f>IF(A143="","",IF(COUNTIFS('Fütterung'!$A$7:$A$2006,A143,'Fütterung'!$E$7:$E$2006,"Ja")=0,"",_xlfn.MAXIFS('Fütterung'!$C$7:$C$2006,'Fütterung'!$A$7:$A$2006,A143,'Fütterung'!$E$7:$E$2006,"Ja")))</f>
        <v/>
      </c>
      <c r="Z143" s="67">
        <f>IF(Y143="","",TODAY()-Y143)</f>
        <v/>
      </c>
      <c r="AA143" s="65">
        <f>IF(A143="","",IF(AND(F143="männlich",H143="Adult"),"Adultes Männchen",IF(AND(Z143&lt;&gt;"",N(Z143)&gt;=FutterGrenze),"Frisst nicht",IF(U143="","Zu wenig Daten",IF(V143&gt;U143*TpM*FaktorUeber,"Überfällig",IF(V143&gt;U143*TpM*FaktorBald,"Fällig","Im Plan"))))))</f>
        <v/>
      </c>
      <c r="AB143" s="69">
        <f>IF(AND(AC143=1,W143&lt;&gt;""),N(W143)+ROW()/100000,"")</f>
        <v/>
      </c>
      <c r="AC143" s="69">
        <f>IF(A143="","",IF(SUBTOTAL(103,A143)=1,1,0))</f>
        <v/>
      </c>
    </row>
    <row r="144" ht="20" customHeight="1">
      <c r="A144" s="60" t="n"/>
      <c r="B144" s="61" t="n"/>
      <c r="C144" s="61" t="n"/>
      <c r="D144" s="61" t="n"/>
      <c r="E144" s="60" t="n"/>
      <c r="F144" s="60" t="n"/>
      <c r="G144" s="60" t="n"/>
      <c r="H144" s="60" t="n"/>
      <c r="I144" s="62" t="n"/>
      <c r="J144" s="63" t="n"/>
      <c r="K144" s="61" t="n"/>
      <c r="L144" s="64" t="n"/>
      <c r="M144" s="60" t="n"/>
      <c r="N144" s="60" t="n"/>
      <c r="O144" s="60" t="n"/>
      <c r="P144" s="61" t="n"/>
      <c r="Q144" s="61" t="n"/>
      <c r="R144" s="65">
        <f>IF(A144="","",TRIM(C144&amp;" "&amp;D144))</f>
        <v/>
      </c>
      <c r="S144" s="66">
        <f>IF(A144="","",IF(COUNTIFS('Häutungen'!$A$7:$A$1006,A144,'Häutungen'!$C$7:$C$1006,"&gt;0")=0,"",_xlfn.MAXIFS('Häutungen'!$C$7:$C$1006,'Häutungen'!$A$7:$A$1006,A144)))</f>
        <v/>
      </c>
      <c r="T144" s="67">
        <f>IF(A144="","",COUNTIFS('Häutungen'!$A$7:$A$1006,A144,'Häutungen'!$C$7:$C$1006,"&gt;0"))</f>
        <v/>
      </c>
      <c r="U144" s="68">
        <f>IF(A144="","",IF(T144&lt;2,"",IFERROR(AVERAGEIFS('Häutungen'!$J$7:$J$1006,'Häutungen'!$A$7:$A$1006,A144,'Häutungen'!$K$7:$K$1006,"&lt;3",'Häutungen'!$I$7:$I$1006,"&gt;0"),"")))</f>
        <v/>
      </c>
      <c r="V144" s="67">
        <f>IF(S144="","",TODAY()-S144)</f>
        <v/>
      </c>
      <c r="W144" s="66">
        <f>IF(OR(U144="",AND(F144="männlich",H144="Adult")),"",S144+ROUND(U144*TpM,0))</f>
        <v/>
      </c>
      <c r="X144" s="68">
        <f>IF(A144="","",IF(S144="",IF(I144="","",I144),IF(SUMIFS('Häutungen'!$D$7:$D$1006,'Häutungen'!$A$7:$A$1006,A144,'Häutungen'!$C$7:$C$1006,S144)&gt;0,SUMIFS('Häutungen'!$D$7:$D$1006,'Häutungen'!$A$7:$A$1006,A144,'Häutungen'!$C$7:$C$1006,S144),IF(I144="","",I144))))</f>
        <v/>
      </c>
      <c r="Y144" s="66">
        <f>IF(A144="","",IF(COUNTIFS('Fütterung'!$A$7:$A$2006,A144,'Fütterung'!$E$7:$E$2006,"Ja")=0,"",_xlfn.MAXIFS('Fütterung'!$C$7:$C$2006,'Fütterung'!$A$7:$A$2006,A144,'Fütterung'!$E$7:$E$2006,"Ja")))</f>
        <v/>
      </c>
      <c r="Z144" s="67">
        <f>IF(Y144="","",TODAY()-Y144)</f>
        <v/>
      </c>
      <c r="AA144" s="65">
        <f>IF(A144="","",IF(AND(F144="männlich",H144="Adult"),"Adultes Männchen",IF(AND(Z144&lt;&gt;"",N(Z144)&gt;=FutterGrenze),"Frisst nicht",IF(U144="","Zu wenig Daten",IF(V144&gt;U144*TpM*FaktorUeber,"Überfällig",IF(V144&gt;U144*TpM*FaktorBald,"Fällig","Im Plan"))))))</f>
        <v/>
      </c>
      <c r="AB144" s="69">
        <f>IF(AND(AC144=1,W144&lt;&gt;""),N(W144)+ROW()/100000,"")</f>
        <v/>
      </c>
      <c r="AC144" s="69">
        <f>IF(A144="","",IF(SUBTOTAL(103,A144)=1,1,0))</f>
        <v/>
      </c>
    </row>
    <row r="145" ht="20" customHeight="1">
      <c r="A145" s="60" t="n"/>
      <c r="B145" s="61" t="n"/>
      <c r="C145" s="61" t="n"/>
      <c r="D145" s="61" t="n"/>
      <c r="E145" s="60" t="n"/>
      <c r="F145" s="60" t="n"/>
      <c r="G145" s="60" t="n"/>
      <c r="H145" s="60" t="n"/>
      <c r="I145" s="62" t="n"/>
      <c r="J145" s="63" t="n"/>
      <c r="K145" s="61" t="n"/>
      <c r="L145" s="64" t="n"/>
      <c r="M145" s="60" t="n"/>
      <c r="N145" s="60" t="n"/>
      <c r="O145" s="60" t="n"/>
      <c r="P145" s="61" t="n"/>
      <c r="Q145" s="61" t="n"/>
      <c r="R145" s="65">
        <f>IF(A145="","",TRIM(C145&amp;" "&amp;D145))</f>
        <v/>
      </c>
      <c r="S145" s="66">
        <f>IF(A145="","",IF(COUNTIFS('Häutungen'!$A$7:$A$1006,A145,'Häutungen'!$C$7:$C$1006,"&gt;0")=0,"",_xlfn.MAXIFS('Häutungen'!$C$7:$C$1006,'Häutungen'!$A$7:$A$1006,A145)))</f>
        <v/>
      </c>
      <c r="T145" s="67">
        <f>IF(A145="","",COUNTIFS('Häutungen'!$A$7:$A$1006,A145,'Häutungen'!$C$7:$C$1006,"&gt;0"))</f>
        <v/>
      </c>
      <c r="U145" s="68">
        <f>IF(A145="","",IF(T145&lt;2,"",IFERROR(AVERAGEIFS('Häutungen'!$J$7:$J$1006,'Häutungen'!$A$7:$A$1006,A145,'Häutungen'!$K$7:$K$1006,"&lt;3",'Häutungen'!$I$7:$I$1006,"&gt;0"),"")))</f>
        <v/>
      </c>
      <c r="V145" s="67">
        <f>IF(S145="","",TODAY()-S145)</f>
        <v/>
      </c>
      <c r="W145" s="66">
        <f>IF(OR(U145="",AND(F145="männlich",H145="Adult")),"",S145+ROUND(U145*TpM,0))</f>
        <v/>
      </c>
      <c r="X145" s="68">
        <f>IF(A145="","",IF(S145="",IF(I145="","",I145),IF(SUMIFS('Häutungen'!$D$7:$D$1006,'Häutungen'!$A$7:$A$1006,A145,'Häutungen'!$C$7:$C$1006,S145)&gt;0,SUMIFS('Häutungen'!$D$7:$D$1006,'Häutungen'!$A$7:$A$1006,A145,'Häutungen'!$C$7:$C$1006,S145),IF(I145="","",I145))))</f>
        <v/>
      </c>
      <c r="Y145" s="66">
        <f>IF(A145="","",IF(COUNTIFS('Fütterung'!$A$7:$A$2006,A145,'Fütterung'!$E$7:$E$2006,"Ja")=0,"",_xlfn.MAXIFS('Fütterung'!$C$7:$C$2006,'Fütterung'!$A$7:$A$2006,A145,'Fütterung'!$E$7:$E$2006,"Ja")))</f>
        <v/>
      </c>
      <c r="Z145" s="67">
        <f>IF(Y145="","",TODAY()-Y145)</f>
        <v/>
      </c>
      <c r="AA145" s="65">
        <f>IF(A145="","",IF(AND(F145="männlich",H145="Adult"),"Adultes Männchen",IF(AND(Z145&lt;&gt;"",N(Z145)&gt;=FutterGrenze),"Frisst nicht",IF(U145="","Zu wenig Daten",IF(V145&gt;U145*TpM*FaktorUeber,"Überfällig",IF(V145&gt;U145*TpM*FaktorBald,"Fällig","Im Plan"))))))</f>
        <v/>
      </c>
      <c r="AB145" s="69">
        <f>IF(AND(AC145=1,W145&lt;&gt;""),N(W145)+ROW()/100000,"")</f>
        <v/>
      </c>
      <c r="AC145" s="69">
        <f>IF(A145="","",IF(SUBTOTAL(103,A145)=1,1,0))</f>
        <v/>
      </c>
    </row>
    <row r="146" ht="20" customHeight="1">
      <c r="A146" s="60" t="n"/>
      <c r="B146" s="61" t="n"/>
      <c r="C146" s="61" t="n"/>
      <c r="D146" s="61" t="n"/>
      <c r="E146" s="60" t="n"/>
      <c r="F146" s="60" t="n"/>
      <c r="G146" s="60" t="n"/>
      <c r="H146" s="60" t="n"/>
      <c r="I146" s="62" t="n"/>
      <c r="J146" s="63" t="n"/>
      <c r="K146" s="61" t="n"/>
      <c r="L146" s="64" t="n"/>
      <c r="M146" s="60" t="n"/>
      <c r="N146" s="60" t="n"/>
      <c r="O146" s="60" t="n"/>
      <c r="P146" s="61" t="n"/>
      <c r="Q146" s="61" t="n"/>
      <c r="R146" s="65">
        <f>IF(A146="","",TRIM(C146&amp;" "&amp;D146))</f>
        <v/>
      </c>
      <c r="S146" s="66">
        <f>IF(A146="","",IF(COUNTIFS('Häutungen'!$A$7:$A$1006,A146,'Häutungen'!$C$7:$C$1006,"&gt;0")=0,"",_xlfn.MAXIFS('Häutungen'!$C$7:$C$1006,'Häutungen'!$A$7:$A$1006,A146)))</f>
        <v/>
      </c>
      <c r="T146" s="67">
        <f>IF(A146="","",COUNTIFS('Häutungen'!$A$7:$A$1006,A146,'Häutungen'!$C$7:$C$1006,"&gt;0"))</f>
        <v/>
      </c>
      <c r="U146" s="68">
        <f>IF(A146="","",IF(T146&lt;2,"",IFERROR(AVERAGEIFS('Häutungen'!$J$7:$J$1006,'Häutungen'!$A$7:$A$1006,A146,'Häutungen'!$K$7:$K$1006,"&lt;3",'Häutungen'!$I$7:$I$1006,"&gt;0"),"")))</f>
        <v/>
      </c>
      <c r="V146" s="67">
        <f>IF(S146="","",TODAY()-S146)</f>
        <v/>
      </c>
      <c r="W146" s="66">
        <f>IF(OR(U146="",AND(F146="männlich",H146="Adult")),"",S146+ROUND(U146*TpM,0))</f>
        <v/>
      </c>
      <c r="X146" s="68">
        <f>IF(A146="","",IF(S146="",IF(I146="","",I146),IF(SUMIFS('Häutungen'!$D$7:$D$1006,'Häutungen'!$A$7:$A$1006,A146,'Häutungen'!$C$7:$C$1006,S146)&gt;0,SUMIFS('Häutungen'!$D$7:$D$1006,'Häutungen'!$A$7:$A$1006,A146,'Häutungen'!$C$7:$C$1006,S146),IF(I146="","",I146))))</f>
        <v/>
      </c>
      <c r="Y146" s="66">
        <f>IF(A146="","",IF(COUNTIFS('Fütterung'!$A$7:$A$2006,A146,'Fütterung'!$E$7:$E$2006,"Ja")=0,"",_xlfn.MAXIFS('Fütterung'!$C$7:$C$2006,'Fütterung'!$A$7:$A$2006,A146,'Fütterung'!$E$7:$E$2006,"Ja")))</f>
        <v/>
      </c>
      <c r="Z146" s="67">
        <f>IF(Y146="","",TODAY()-Y146)</f>
        <v/>
      </c>
      <c r="AA146" s="65">
        <f>IF(A146="","",IF(AND(F146="männlich",H146="Adult"),"Adultes Männchen",IF(AND(Z146&lt;&gt;"",N(Z146)&gt;=FutterGrenze),"Frisst nicht",IF(U146="","Zu wenig Daten",IF(V146&gt;U146*TpM*FaktorUeber,"Überfällig",IF(V146&gt;U146*TpM*FaktorBald,"Fällig","Im Plan"))))))</f>
        <v/>
      </c>
      <c r="AB146" s="69">
        <f>IF(AND(AC146=1,W146&lt;&gt;""),N(W146)+ROW()/100000,"")</f>
        <v/>
      </c>
      <c r="AC146" s="69">
        <f>IF(A146="","",IF(SUBTOTAL(103,A146)=1,1,0))</f>
        <v/>
      </c>
    </row>
    <row r="147" ht="20" customHeight="1">
      <c r="A147" s="60" t="n"/>
      <c r="B147" s="61" t="n"/>
      <c r="C147" s="61" t="n"/>
      <c r="D147" s="61" t="n"/>
      <c r="E147" s="60" t="n"/>
      <c r="F147" s="60" t="n"/>
      <c r="G147" s="60" t="n"/>
      <c r="H147" s="60" t="n"/>
      <c r="I147" s="62" t="n"/>
      <c r="J147" s="63" t="n"/>
      <c r="K147" s="61" t="n"/>
      <c r="L147" s="64" t="n"/>
      <c r="M147" s="60" t="n"/>
      <c r="N147" s="60" t="n"/>
      <c r="O147" s="60" t="n"/>
      <c r="P147" s="61" t="n"/>
      <c r="Q147" s="61" t="n"/>
      <c r="R147" s="65">
        <f>IF(A147="","",TRIM(C147&amp;" "&amp;D147))</f>
        <v/>
      </c>
      <c r="S147" s="66">
        <f>IF(A147="","",IF(COUNTIFS('Häutungen'!$A$7:$A$1006,A147,'Häutungen'!$C$7:$C$1006,"&gt;0")=0,"",_xlfn.MAXIFS('Häutungen'!$C$7:$C$1006,'Häutungen'!$A$7:$A$1006,A147)))</f>
        <v/>
      </c>
      <c r="T147" s="67">
        <f>IF(A147="","",COUNTIFS('Häutungen'!$A$7:$A$1006,A147,'Häutungen'!$C$7:$C$1006,"&gt;0"))</f>
        <v/>
      </c>
      <c r="U147" s="68">
        <f>IF(A147="","",IF(T147&lt;2,"",IFERROR(AVERAGEIFS('Häutungen'!$J$7:$J$1006,'Häutungen'!$A$7:$A$1006,A147,'Häutungen'!$K$7:$K$1006,"&lt;3",'Häutungen'!$I$7:$I$1006,"&gt;0"),"")))</f>
        <v/>
      </c>
      <c r="V147" s="67">
        <f>IF(S147="","",TODAY()-S147)</f>
        <v/>
      </c>
      <c r="W147" s="66">
        <f>IF(OR(U147="",AND(F147="männlich",H147="Adult")),"",S147+ROUND(U147*TpM,0))</f>
        <v/>
      </c>
      <c r="X147" s="68">
        <f>IF(A147="","",IF(S147="",IF(I147="","",I147),IF(SUMIFS('Häutungen'!$D$7:$D$1006,'Häutungen'!$A$7:$A$1006,A147,'Häutungen'!$C$7:$C$1006,S147)&gt;0,SUMIFS('Häutungen'!$D$7:$D$1006,'Häutungen'!$A$7:$A$1006,A147,'Häutungen'!$C$7:$C$1006,S147),IF(I147="","",I147))))</f>
        <v/>
      </c>
      <c r="Y147" s="66">
        <f>IF(A147="","",IF(COUNTIFS('Fütterung'!$A$7:$A$2006,A147,'Fütterung'!$E$7:$E$2006,"Ja")=0,"",_xlfn.MAXIFS('Fütterung'!$C$7:$C$2006,'Fütterung'!$A$7:$A$2006,A147,'Fütterung'!$E$7:$E$2006,"Ja")))</f>
        <v/>
      </c>
      <c r="Z147" s="67">
        <f>IF(Y147="","",TODAY()-Y147)</f>
        <v/>
      </c>
      <c r="AA147" s="65">
        <f>IF(A147="","",IF(AND(F147="männlich",H147="Adult"),"Adultes Männchen",IF(AND(Z147&lt;&gt;"",N(Z147)&gt;=FutterGrenze),"Frisst nicht",IF(U147="","Zu wenig Daten",IF(V147&gt;U147*TpM*FaktorUeber,"Überfällig",IF(V147&gt;U147*TpM*FaktorBald,"Fällig","Im Plan"))))))</f>
        <v/>
      </c>
      <c r="AB147" s="69">
        <f>IF(AND(AC147=1,W147&lt;&gt;""),N(W147)+ROW()/100000,"")</f>
        <v/>
      </c>
      <c r="AC147" s="69">
        <f>IF(A147="","",IF(SUBTOTAL(103,A147)=1,1,0))</f>
        <v/>
      </c>
    </row>
    <row r="148" ht="20" customHeight="1">
      <c r="A148" s="60" t="n"/>
      <c r="B148" s="61" t="n"/>
      <c r="C148" s="61" t="n"/>
      <c r="D148" s="61" t="n"/>
      <c r="E148" s="60" t="n"/>
      <c r="F148" s="60" t="n"/>
      <c r="G148" s="60" t="n"/>
      <c r="H148" s="60" t="n"/>
      <c r="I148" s="62" t="n"/>
      <c r="J148" s="63" t="n"/>
      <c r="K148" s="61" t="n"/>
      <c r="L148" s="64" t="n"/>
      <c r="M148" s="60" t="n"/>
      <c r="N148" s="60" t="n"/>
      <c r="O148" s="60" t="n"/>
      <c r="P148" s="61" t="n"/>
      <c r="Q148" s="61" t="n"/>
      <c r="R148" s="65">
        <f>IF(A148="","",TRIM(C148&amp;" "&amp;D148))</f>
        <v/>
      </c>
      <c r="S148" s="66">
        <f>IF(A148="","",IF(COUNTIFS('Häutungen'!$A$7:$A$1006,A148,'Häutungen'!$C$7:$C$1006,"&gt;0")=0,"",_xlfn.MAXIFS('Häutungen'!$C$7:$C$1006,'Häutungen'!$A$7:$A$1006,A148)))</f>
        <v/>
      </c>
      <c r="T148" s="67">
        <f>IF(A148="","",COUNTIFS('Häutungen'!$A$7:$A$1006,A148,'Häutungen'!$C$7:$C$1006,"&gt;0"))</f>
        <v/>
      </c>
      <c r="U148" s="68">
        <f>IF(A148="","",IF(T148&lt;2,"",IFERROR(AVERAGEIFS('Häutungen'!$J$7:$J$1006,'Häutungen'!$A$7:$A$1006,A148,'Häutungen'!$K$7:$K$1006,"&lt;3",'Häutungen'!$I$7:$I$1006,"&gt;0"),"")))</f>
        <v/>
      </c>
      <c r="V148" s="67">
        <f>IF(S148="","",TODAY()-S148)</f>
        <v/>
      </c>
      <c r="W148" s="66">
        <f>IF(OR(U148="",AND(F148="männlich",H148="Adult")),"",S148+ROUND(U148*TpM,0))</f>
        <v/>
      </c>
      <c r="X148" s="68">
        <f>IF(A148="","",IF(S148="",IF(I148="","",I148),IF(SUMIFS('Häutungen'!$D$7:$D$1006,'Häutungen'!$A$7:$A$1006,A148,'Häutungen'!$C$7:$C$1006,S148)&gt;0,SUMIFS('Häutungen'!$D$7:$D$1006,'Häutungen'!$A$7:$A$1006,A148,'Häutungen'!$C$7:$C$1006,S148),IF(I148="","",I148))))</f>
        <v/>
      </c>
      <c r="Y148" s="66">
        <f>IF(A148="","",IF(COUNTIFS('Fütterung'!$A$7:$A$2006,A148,'Fütterung'!$E$7:$E$2006,"Ja")=0,"",_xlfn.MAXIFS('Fütterung'!$C$7:$C$2006,'Fütterung'!$A$7:$A$2006,A148,'Fütterung'!$E$7:$E$2006,"Ja")))</f>
        <v/>
      </c>
      <c r="Z148" s="67">
        <f>IF(Y148="","",TODAY()-Y148)</f>
        <v/>
      </c>
      <c r="AA148" s="65">
        <f>IF(A148="","",IF(AND(F148="männlich",H148="Adult"),"Adultes Männchen",IF(AND(Z148&lt;&gt;"",N(Z148)&gt;=FutterGrenze),"Frisst nicht",IF(U148="","Zu wenig Daten",IF(V148&gt;U148*TpM*FaktorUeber,"Überfällig",IF(V148&gt;U148*TpM*FaktorBald,"Fällig","Im Plan"))))))</f>
        <v/>
      </c>
      <c r="AB148" s="69">
        <f>IF(AND(AC148=1,W148&lt;&gt;""),N(W148)+ROW()/100000,"")</f>
        <v/>
      </c>
      <c r="AC148" s="69">
        <f>IF(A148="","",IF(SUBTOTAL(103,A148)=1,1,0))</f>
        <v/>
      </c>
    </row>
    <row r="149" ht="20" customHeight="1">
      <c r="A149" s="60" t="n"/>
      <c r="B149" s="61" t="n"/>
      <c r="C149" s="61" t="n"/>
      <c r="D149" s="61" t="n"/>
      <c r="E149" s="60" t="n"/>
      <c r="F149" s="60" t="n"/>
      <c r="G149" s="60" t="n"/>
      <c r="H149" s="60" t="n"/>
      <c r="I149" s="62" t="n"/>
      <c r="J149" s="63" t="n"/>
      <c r="K149" s="61" t="n"/>
      <c r="L149" s="64" t="n"/>
      <c r="M149" s="60" t="n"/>
      <c r="N149" s="60" t="n"/>
      <c r="O149" s="60" t="n"/>
      <c r="P149" s="61" t="n"/>
      <c r="Q149" s="61" t="n"/>
      <c r="R149" s="65">
        <f>IF(A149="","",TRIM(C149&amp;" "&amp;D149))</f>
        <v/>
      </c>
      <c r="S149" s="66">
        <f>IF(A149="","",IF(COUNTIFS('Häutungen'!$A$7:$A$1006,A149,'Häutungen'!$C$7:$C$1006,"&gt;0")=0,"",_xlfn.MAXIFS('Häutungen'!$C$7:$C$1006,'Häutungen'!$A$7:$A$1006,A149)))</f>
        <v/>
      </c>
      <c r="T149" s="67">
        <f>IF(A149="","",COUNTIFS('Häutungen'!$A$7:$A$1006,A149,'Häutungen'!$C$7:$C$1006,"&gt;0"))</f>
        <v/>
      </c>
      <c r="U149" s="68">
        <f>IF(A149="","",IF(T149&lt;2,"",IFERROR(AVERAGEIFS('Häutungen'!$J$7:$J$1006,'Häutungen'!$A$7:$A$1006,A149,'Häutungen'!$K$7:$K$1006,"&lt;3",'Häutungen'!$I$7:$I$1006,"&gt;0"),"")))</f>
        <v/>
      </c>
      <c r="V149" s="67">
        <f>IF(S149="","",TODAY()-S149)</f>
        <v/>
      </c>
      <c r="W149" s="66">
        <f>IF(OR(U149="",AND(F149="männlich",H149="Adult")),"",S149+ROUND(U149*TpM,0))</f>
        <v/>
      </c>
      <c r="X149" s="68">
        <f>IF(A149="","",IF(S149="",IF(I149="","",I149),IF(SUMIFS('Häutungen'!$D$7:$D$1006,'Häutungen'!$A$7:$A$1006,A149,'Häutungen'!$C$7:$C$1006,S149)&gt;0,SUMIFS('Häutungen'!$D$7:$D$1006,'Häutungen'!$A$7:$A$1006,A149,'Häutungen'!$C$7:$C$1006,S149),IF(I149="","",I149))))</f>
        <v/>
      </c>
      <c r="Y149" s="66">
        <f>IF(A149="","",IF(COUNTIFS('Fütterung'!$A$7:$A$2006,A149,'Fütterung'!$E$7:$E$2006,"Ja")=0,"",_xlfn.MAXIFS('Fütterung'!$C$7:$C$2006,'Fütterung'!$A$7:$A$2006,A149,'Fütterung'!$E$7:$E$2006,"Ja")))</f>
        <v/>
      </c>
      <c r="Z149" s="67">
        <f>IF(Y149="","",TODAY()-Y149)</f>
        <v/>
      </c>
      <c r="AA149" s="65">
        <f>IF(A149="","",IF(AND(F149="männlich",H149="Adult"),"Adultes Männchen",IF(AND(Z149&lt;&gt;"",N(Z149)&gt;=FutterGrenze),"Frisst nicht",IF(U149="","Zu wenig Daten",IF(V149&gt;U149*TpM*FaktorUeber,"Überfällig",IF(V149&gt;U149*TpM*FaktorBald,"Fällig","Im Plan"))))))</f>
        <v/>
      </c>
      <c r="AB149" s="69">
        <f>IF(AND(AC149=1,W149&lt;&gt;""),N(W149)+ROW()/100000,"")</f>
        <v/>
      </c>
      <c r="AC149" s="69">
        <f>IF(A149="","",IF(SUBTOTAL(103,A149)=1,1,0))</f>
        <v/>
      </c>
    </row>
    <row r="150" ht="20" customHeight="1">
      <c r="A150" s="60" t="n"/>
      <c r="B150" s="61" t="n"/>
      <c r="C150" s="61" t="n"/>
      <c r="D150" s="61" t="n"/>
      <c r="E150" s="60" t="n"/>
      <c r="F150" s="60" t="n"/>
      <c r="G150" s="60" t="n"/>
      <c r="H150" s="60" t="n"/>
      <c r="I150" s="62" t="n"/>
      <c r="J150" s="63" t="n"/>
      <c r="K150" s="61" t="n"/>
      <c r="L150" s="64" t="n"/>
      <c r="M150" s="60" t="n"/>
      <c r="N150" s="60" t="n"/>
      <c r="O150" s="60" t="n"/>
      <c r="P150" s="61" t="n"/>
      <c r="Q150" s="61" t="n"/>
      <c r="R150" s="65">
        <f>IF(A150="","",TRIM(C150&amp;" "&amp;D150))</f>
        <v/>
      </c>
      <c r="S150" s="66">
        <f>IF(A150="","",IF(COUNTIFS('Häutungen'!$A$7:$A$1006,A150,'Häutungen'!$C$7:$C$1006,"&gt;0")=0,"",_xlfn.MAXIFS('Häutungen'!$C$7:$C$1006,'Häutungen'!$A$7:$A$1006,A150)))</f>
        <v/>
      </c>
      <c r="T150" s="67">
        <f>IF(A150="","",COUNTIFS('Häutungen'!$A$7:$A$1006,A150,'Häutungen'!$C$7:$C$1006,"&gt;0"))</f>
        <v/>
      </c>
      <c r="U150" s="68">
        <f>IF(A150="","",IF(T150&lt;2,"",IFERROR(AVERAGEIFS('Häutungen'!$J$7:$J$1006,'Häutungen'!$A$7:$A$1006,A150,'Häutungen'!$K$7:$K$1006,"&lt;3",'Häutungen'!$I$7:$I$1006,"&gt;0"),"")))</f>
        <v/>
      </c>
      <c r="V150" s="67">
        <f>IF(S150="","",TODAY()-S150)</f>
        <v/>
      </c>
      <c r="W150" s="66">
        <f>IF(OR(U150="",AND(F150="männlich",H150="Adult")),"",S150+ROUND(U150*TpM,0))</f>
        <v/>
      </c>
      <c r="X150" s="68">
        <f>IF(A150="","",IF(S150="",IF(I150="","",I150),IF(SUMIFS('Häutungen'!$D$7:$D$1006,'Häutungen'!$A$7:$A$1006,A150,'Häutungen'!$C$7:$C$1006,S150)&gt;0,SUMIFS('Häutungen'!$D$7:$D$1006,'Häutungen'!$A$7:$A$1006,A150,'Häutungen'!$C$7:$C$1006,S150),IF(I150="","",I150))))</f>
        <v/>
      </c>
      <c r="Y150" s="66">
        <f>IF(A150="","",IF(COUNTIFS('Fütterung'!$A$7:$A$2006,A150,'Fütterung'!$E$7:$E$2006,"Ja")=0,"",_xlfn.MAXIFS('Fütterung'!$C$7:$C$2006,'Fütterung'!$A$7:$A$2006,A150,'Fütterung'!$E$7:$E$2006,"Ja")))</f>
        <v/>
      </c>
      <c r="Z150" s="67">
        <f>IF(Y150="","",TODAY()-Y150)</f>
        <v/>
      </c>
      <c r="AA150" s="65">
        <f>IF(A150="","",IF(AND(F150="männlich",H150="Adult"),"Adultes Männchen",IF(AND(Z150&lt;&gt;"",N(Z150)&gt;=FutterGrenze),"Frisst nicht",IF(U150="","Zu wenig Daten",IF(V150&gt;U150*TpM*FaktorUeber,"Überfällig",IF(V150&gt;U150*TpM*FaktorBald,"Fällig","Im Plan"))))))</f>
        <v/>
      </c>
      <c r="AB150" s="69">
        <f>IF(AND(AC150=1,W150&lt;&gt;""),N(W150)+ROW()/100000,"")</f>
        <v/>
      </c>
      <c r="AC150" s="69">
        <f>IF(A150="","",IF(SUBTOTAL(103,A150)=1,1,0))</f>
        <v/>
      </c>
    </row>
    <row r="151" ht="20" customHeight="1">
      <c r="A151" s="60" t="n"/>
      <c r="B151" s="61" t="n"/>
      <c r="C151" s="61" t="n"/>
      <c r="D151" s="61" t="n"/>
      <c r="E151" s="60" t="n"/>
      <c r="F151" s="60" t="n"/>
      <c r="G151" s="60" t="n"/>
      <c r="H151" s="60" t="n"/>
      <c r="I151" s="62" t="n"/>
      <c r="J151" s="63" t="n"/>
      <c r="K151" s="61" t="n"/>
      <c r="L151" s="64" t="n"/>
      <c r="M151" s="60" t="n"/>
      <c r="N151" s="60" t="n"/>
      <c r="O151" s="60" t="n"/>
      <c r="P151" s="61" t="n"/>
      <c r="Q151" s="61" t="n"/>
      <c r="R151" s="65">
        <f>IF(A151="","",TRIM(C151&amp;" "&amp;D151))</f>
        <v/>
      </c>
      <c r="S151" s="66">
        <f>IF(A151="","",IF(COUNTIFS('Häutungen'!$A$7:$A$1006,A151,'Häutungen'!$C$7:$C$1006,"&gt;0")=0,"",_xlfn.MAXIFS('Häutungen'!$C$7:$C$1006,'Häutungen'!$A$7:$A$1006,A151)))</f>
        <v/>
      </c>
      <c r="T151" s="67">
        <f>IF(A151="","",COUNTIFS('Häutungen'!$A$7:$A$1006,A151,'Häutungen'!$C$7:$C$1006,"&gt;0"))</f>
        <v/>
      </c>
      <c r="U151" s="68">
        <f>IF(A151="","",IF(T151&lt;2,"",IFERROR(AVERAGEIFS('Häutungen'!$J$7:$J$1006,'Häutungen'!$A$7:$A$1006,A151,'Häutungen'!$K$7:$K$1006,"&lt;3",'Häutungen'!$I$7:$I$1006,"&gt;0"),"")))</f>
        <v/>
      </c>
      <c r="V151" s="67">
        <f>IF(S151="","",TODAY()-S151)</f>
        <v/>
      </c>
      <c r="W151" s="66">
        <f>IF(OR(U151="",AND(F151="männlich",H151="Adult")),"",S151+ROUND(U151*TpM,0))</f>
        <v/>
      </c>
      <c r="X151" s="68">
        <f>IF(A151="","",IF(S151="",IF(I151="","",I151),IF(SUMIFS('Häutungen'!$D$7:$D$1006,'Häutungen'!$A$7:$A$1006,A151,'Häutungen'!$C$7:$C$1006,S151)&gt;0,SUMIFS('Häutungen'!$D$7:$D$1006,'Häutungen'!$A$7:$A$1006,A151,'Häutungen'!$C$7:$C$1006,S151),IF(I151="","",I151))))</f>
        <v/>
      </c>
      <c r="Y151" s="66">
        <f>IF(A151="","",IF(COUNTIFS('Fütterung'!$A$7:$A$2006,A151,'Fütterung'!$E$7:$E$2006,"Ja")=0,"",_xlfn.MAXIFS('Fütterung'!$C$7:$C$2006,'Fütterung'!$A$7:$A$2006,A151,'Fütterung'!$E$7:$E$2006,"Ja")))</f>
        <v/>
      </c>
      <c r="Z151" s="67">
        <f>IF(Y151="","",TODAY()-Y151)</f>
        <v/>
      </c>
      <c r="AA151" s="65">
        <f>IF(A151="","",IF(AND(F151="männlich",H151="Adult"),"Adultes Männchen",IF(AND(Z151&lt;&gt;"",N(Z151)&gt;=FutterGrenze),"Frisst nicht",IF(U151="","Zu wenig Daten",IF(V151&gt;U151*TpM*FaktorUeber,"Überfällig",IF(V151&gt;U151*TpM*FaktorBald,"Fällig","Im Plan"))))))</f>
        <v/>
      </c>
      <c r="AB151" s="69">
        <f>IF(AND(AC151=1,W151&lt;&gt;""),N(W151)+ROW()/100000,"")</f>
        <v/>
      </c>
      <c r="AC151" s="69">
        <f>IF(A151="","",IF(SUBTOTAL(103,A151)=1,1,0))</f>
        <v/>
      </c>
    </row>
    <row r="152" ht="20" customHeight="1">
      <c r="A152" s="60" t="n"/>
      <c r="B152" s="61" t="n"/>
      <c r="C152" s="61" t="n"/>
      <c r="D152" s="61" t="n"/>
      <c r="E152" s="60" t="n"/>
      <c r="F152" s="60" t="n"/>
      <c r="G152" s="60" t="n"/>
      <c r="H152" s="60" t="n"/>
      <c r="I152" s="62" t="n"/>
      <c r="J152" s="63" t="n"/>
      <c r="K152" s="61" t="n"/>
      <c r="L152" s="64" t="n"/>
      <c r="M152" s="60" t="n"/>
      <c r="N152" s="60" t="n"/>
      <c r="O152" s="60" t="n"/>
      <c r="P152" s="61" t="n"/>
      <c r="Q152" s="61" t="n"/>
      <c r="R152" s="65">
        <f>IF(A152="","",TRIM(C152&amp;" "&amp;D152))</f>
        <v/>
      </c>
      <c r="S152" s="66">
        <f>IF(A152="","",IF(COUNTIFS('Häutungen'!$A$7:$A$1006,A152,'Häutungen'!$C$7:$C$1006,"&gt;0")=0,"",_xlfn.MAXIFS('Häutungen'!$C$7:$C$1006,'Häutungen'!$A$7:$A$1006,A152)))</f>
        <v/>
      </c>
      <c r="T152" s="67">
        <f>IF(A152="","",COUNTIFS('Häutungen'!$A$7:$A$1006,A152,'Häutungen'!$C$7:$C$1006,"&gt;0"))</f>
        <v/>
      </c>
      <c r="U152" s="68">
        <f>IF(A152="","",IF(T152&lt;2,"",IFERROR(AVERAGEIFS('Häutungen'!$J$7:$J$1006,'Häutungen'!$A$7:$A$1006,A152,'Häutungen'!$K$7:$K$1006,"&lt;3",'Häutungen'!$I$7:$I$1006,"&gt;0"),"")))</f>
        <v/>
      </c>
      <c r="V152" s="67">
        <f>IF(S152="","",TODAY()-S152)</f>
        <v/>
      </c>
      <c r="W152" s="66">
        <f>IF(OR(U152="",AND(F152="männlich",H152="Adult")),"",S152+ROUND(U152*TpM,0))</f>
        <v/>
      </c>
      <c r="X152" s="68">
        <f>IF(A152="","",IF(S152="",IF(I152="","",I152),IF(SUMIFS('Häutungen'!$D$7:$D$1006,'Häutungen'!$A$7:$A$1006,A152,'Häutungen'!$C$7:$C$1006,S152)&gt;0,SUMIFS('Häutungen'!$D$7:$D$1006,'Häutungen'!$A$7:$A$1006,A152,'Häutungen'!$C$7:$C$1006,S152),IF(I152="","",I152))))</f>
        <v/>
      </c>
      <c r="Y152" s="66">
        <f>IF(A152="","",IF(COUNTIFS('Fütterung'!$A$7:$A$2006,A152,'Fütterung'!$E$7:$E$2006,"Ja")=0,"",_xlfn.MAXIFS('Fütterung'!$C$7:$C$2006,'Fütterung'!$A$7:$A$2006,A152,'Fütterung'!$E$7:$E$2006,"Ja")))</f>
        <v/>
      </c>
      <c r="Z152" s="67">
        <f>IF(Y152="","",TODAY()-Y152)</f>
        <v/>
      </c>
      <c r="AA152" s="65">
        <f>IF(A152="","",IF(AND(F152="männlich",H152="Adult"),"Adultes Männchen",IF(AND(Z152&lt;&gt;"",N(Z152)&gt;=FutterGrenze),"Frisst nicht",IF(U152="","Zu wenig Daten",IF(V152&gt;U152*TpM*FaktorUeber,"Überfällig",IF(V152&gt;U152*TpM*FaktorBald,"Fällig","Im Plan"))))))</f>
        <v/>
      </c>
      <c r="AB152" s="69">
        <f>IF(AND(AC152=1,W152&lt;&gt;""),N(W152)+ROW()/100000,"")</f>
        <v/>
      </c>
      <c r="AC152" s="69">
        <f>IF(A152="","",IF(SUBTOTAL(103,A152)=1,1,0))</f>
        <v/>
      </c>
    </row>
    <row r="153" ht="20" customHeight="1">
      <c r="A153" s="60" t="n"/>
      <c r="B153" s="61" t="n"/>
      <c r="C153" s="61" t="n"/>
      <c r="D153" s="61" t="n"/>
      <c r="E153" s="60" t="n"/>
      <c r="F153" s="60" t="n"/>
      <c r="G153" s="60" t="n"/>
      <c r="H153" s="60" t="n"/>
      <c r="I153" s="62" t="n"/>
      <c r="J153" s="63" t="n"/>
      <c r="K153" s="61" t="n"/>
      <c r="L153" s="64" t="n"/>
      <c r="M153" s="60" t="n"/>
      <c r="N153" s="60" t="n"/>
      <c r="O153" s="60" t="n"/>
      <c r="P153" s="61" t="n"/>
      <c r="Q153" s="61" t="n"/>
      <c r="R153" s="65">
        <f>IF(A153="","",TRIM(C153&amp;" "&amp;D153))</f>
        <v/>
      </c>
      <c r="S153" s="66">
        <f>IF(A153="","",IF(COUNTIFS('Häutungen'!$A$7:$A$1006,A153,'Häutungen'!$C$7:$C$1006,"&gt;0")=0,"",_xlfn.MAXIFS('Häutungen'!$C$7:$C$1006,'Häutungen'!$A$7:$A$1006,A153)))</f>
        <v/>
      </c>
      <c r="T153" s="67">
        <f>IF(A153="","",COUNTIFS('Häutungen'!$A$7:$A$1006,A153,'Häutungen'!$C$7:$C$1006,"&gt;0"))</f>
        <v/>
      </c>
      <c r="U153" s="68">
        <f>IF(A153="","",IF(T153&lt;2,"",IFERROR(AVERAGEIFS('Häutungen'!$J$7:$J$1006,'Häutungen'!$A$7:$A$1006,A153,'Häutungen'!$K$7:$K$1006,"&lt;3",'Häutungen'!$I$7:$I$1006,"&gt;0"),"")))</f>
        <v/>
      </c>
      <c r="V153" s="67">
        <f>IF(S153="","",TODAY()-S153)</f>
        <v/>
      </c>
      <c r="W153" s="66">
        <f>IF(OR(U153="",AND(F153="männlich",H153="Adult")),"",S153+ROUND(U153*TpM,0))</f>
        <v/>
      </c>
      <c r="X153" s="68">
        <f>IF(A153="","",IF(S153="",IF(I153="","",I153),IF(SUMIFS('Häutungen'!$D$7:$D$1006,'Häutungen'!$A$7:$A$1006,A153,'Häutungen'!$C$7:$C$1006,S153)&gt;0,SUMIFS('Häutungen'!$D$7:$D$1006,'Häutungen'!$A$7:$A$1006,A153,'Häutungen'!$C$7:$C$1006,S153),IF(I153="","",I153))))</f>
        <v/>
      </c>
      <c r="Y153" s="66">
        <f>IF(A153="","",IF(COUNTIFS('Fütterung'!$A$7:$A$2006,A153,'Fütterung'!$E$7:$E$2006,"Ja")=0,"",_xlfn.MAXIFS('Fütterung'!$C$7:$C$2006,'Fütterung'!$A$7:$A$2006,A153,'Fütterung'!$E$7:$E$2006,"Ja")))</f>
        <v/>
      </c>
      <c r="Z153" s="67">
        <f>IF(Y153="","",TODAY()-Y153)</f>
        <v/>
      </c>
      <c r="AA153" s="65">
        <f>IF(A153="","",IF(AND(F153="männlich",H153="Adult"),"Adultes Männchen",IF(AND(Z153&lt;&gt;"",N(Z153)&gt;=FutterGrenze),"Frisst nicht",IF(U153="","Zu wenig Daten",IF(V153&gt;U153*TpM*FaktorUeber,"Überfällig",IF(V153&gt;U153*TpM*FaktorBald,"Fällig","Im Plan"))))))</f>
        <v/>
      </c>
      <c r="AB153" s="69">
        <f>IF(AND(AC153=1,W153&lt;&gt;""),N(W153)+ROW()/100000,"")</f>
        <v/>
      </c>
      <c r="AC153" s="69">
        <f>IF(A153="","",IF(SUBTOTAL(103,A153)=1,1,0))</f>
        <v/>
      </c>
    </row>
    <row r="154" ht="20" customHeight="1">
      <c r="A154" s="60" t="n"/>
      <c r="B154" s="61" t="n"/>
      <c r="C154" s="61" t="n"/>
      <c r="D154" s="61" t="n"/>
      <c r="E154" s="60" t="n"/>
      <c r="F154" s="60" t="n"/>
      <c r="G154" s="60" t="n"/>
      <c r="H154" s="60" t="n"/>
      <c r="I154" s="62" t="n"/>
      <c r="J154" s="63" t="n"/>
      <c r="K154" s="61" t="n"/>
      <c r="L154" s="64" t="n"/>
      <c r="M154" s="60" t="n"/>
      <c r="N154" s="60" t="n"/>
      <c r="O154" s="60" t="n"/>
      <c r="P154" s="61" t="n"/>
      <c r="Q154" s="61" t="n"/>
      <c r="R154" s="65">
        <f>IF(A154="","",TRIM(C154&amp;" "&amp;D154))</f>
        <v/>
      </c>
      <c r="S154" s="66">
        <f>IF(A154="","",IF(COUNTIFS('Häutungen'!$A$7:$A$1006,A154,'Häutungen'!$C$7:$C$1006,"&gt;0")=0,"",_xlfn.MAXIFS('Häutungen'!$C$7:$C$1006,'Häutungen'!$A$7:$A$1006,A154)))</f>
        <v/>
      </c>
      <c r="T154" s="67">
        <f>IF(A154="","",COUNTIFS('Häutungen'!$A$7:$A$1006,A154,'Häutungen'!$C$7:$C$1006,"&gt;0"))</f>
        <v/>
      </c>
      <c r="U154" s="68">
        <f>IF(A154="","",IF(T154&lt;2,"",IFERROR(AVERAGEIFS('Häutungen'!$J$7:$J$1006,'Häutungen'!$A$7:$A$1006,A154,'Häutungen'!$K$7:$K$1006,"&lt;3",'Häutungen'!$I$7:$I$1006,"&gt;0"),"")))</f>
        <v/>
      </c>
      <c r="V154" s="67">
        <f>IF(S154="","",TODAY()-S154)</f>
        <v/>
      </c>
      <c r="W154" s="66">
        <f>IF(OR(U154="",AND(F154="männlich",H154="Adult")),"",S154+ROUND(U154*TpM,0))</f>
        <v/>
      </c>
      <c r="X154" s="68">
        <f>IF(A154="","",IF(S154="",IF(I154="","",I154),IF(SUMIFS('Häutungen'!$D$7:$D$1006,'Häutungen'!$A$7:$A$1006,A154,'Häutungen'!$C$7:$C$1006,S154)&gt;0,SUMIFS('Häutungen'!$D$7:$D$1006,'Häutungen'!$A$7:$A$1006,A154,'Häutungen'!$C$7:$C$1006,S154),IF(I154="","",I154))))</f>
        <v/>
      </c>
      <c r="Y154" s="66">
        <f>IF(A154="","",IF(COUNTIFS('Fütterung'!$A$7:$A$2006,A154,'Fütterung'!$E$7:$E$2006,"Ja")=0,"",_xlfn.MAXIFS('Fütterung'!$C$7:$C$2006,'Fütterung'!$A$7:$A$2006,A154,'Fütterung'!$E$7:$E$2006,"Ja")))</f>
        <v/>
      </c>
      <c r="Z154" s="67">
        <f>IF(Y154="","",TODAY()-Y154)</f>
        <v/>
      </c>
      <c r="AA154" s="65">
        <f>IF(A154="","",IF(AND(F154="männlich",H154="Adult"),"Adultes Männchen",IF(AND(Z154&lt;&gt;"",N(Z154)&gt;=FutterGrenze),"Frisst nicht",IF(U154="","Zu wenig Daten",IF(V154&gt;U154*TpM*FaktorUeber,"Überfällig",IF(V154&gt;U154*TpM*FaktorBald,"Fällig","Im Plan"))))))</f>
        <v/>
      </c>
      <c r="AB154" s="69">
        <f>IF(AND(AC154=1,W154&lt;&gt;""),N(W154)+ROW()/100000,"")</f>
        <v/>
      </c>
      <c r="AC154" s="69">
        <f>IF(A154="","",IF(SUBTOTAL(103,A154)=1,1,0))</f>
        <v/>
      </c>
    </row>
    <row r="155" ht="20" customHeight="1">
      <c r="A155" s="60" t="n"/>
      <c r="B155" s="61" t="n"/>
      <c r="C155" s="61" t="n"/>
      <c r="D155" s="61" t="n"/>
      <c r="E155" s="60" t="n"/>
      <c r="F155" s="60" t="n"/>
      <c r="G155" s="60" t="n"/>
      <c r="H155" s="60" t="n"/>
      <c r="I155" s="62" t="n"/>
      <c r="J155" s="63" t="n"/>
      <c r="K155" s="61" t="n"/>
      <c r="L155" s="64" t="n"/>
      <c r="M155" s="60" t="n"/>
      <c r="N155" s="60" t="n"/>
      <c r="O155" s="60" t="n"/>
      <c r="P155" s="61" t="n"/>
      <c r="Q155" s="61" t="n"/>
      <c r="R155" s="65">
        <f>IF(A155="","",TRIM(C155&amp;" "&amp;D155))</f>
        <v/>
      </c>
      <c r="S155" s="66">
        <f>IF(A155="","",IF(COUNTIFS('Häutungen'!$A$7:$A$1006,A155,'Häutungen'!$C$7:$C$1006,"&gt;0")=0,"",_xlfn.MAXIFS('Häutungen'!$C$7:$C$1006,'Häutungen'!$A$7:$A$1006,A155)))</f>
        <v/>
      </c>
      <c r="T155" s="67">
        <f>IF(A155="","",COUNTIFS('Häutungen'!$A$7:$A$1006,A155,'Häutungen'!$C$7:$C$1006,"&gt;0"))</f>
        <v/>
      </c>
      <c r="U155" s="68">
        <f>IF(A155="","",IF(T155&lt;2,"",IFERROR(AVERAGEIFS('Häutungen'!$J$7:$J$1006,'Häutungen'!$A$7:$A$1006,A155,'Häutungen'!$K$7:$K$1006,"&lt;3",'Häutungen'!$I$7:$I$1006,"&gt;0"),"")))</f>
        <v/>
      </c>
      <c r="V155" s="67">
        <f>IF(S155="","",TODAY()-S155)</f>
        <v/>
      </c>
      <c r="W155" s="66">
        <f>IF(OR(U155="",AND(F155="männlich",H155="Adult")),"",S155+ROUND(U155*TpM,0))</f>
        <v/>
      </c>
      <c r="X155" s="68">
        <f>IF(A155="","",IF(S155="",IF(I155="","",I155),IF(SUMIFS('Häutungen'!$D$7:$D$1006,'Häutungen'!$A$7:$A$1006,A155,'Häutungen'!$C$7:$C$1006,S155)&gt;0,SUMIFS('Häutungen'!$D$7:$D$1006,'Häutungen'!$A$7:$A$1006,A155,'Häutungen'!$C$7:$C$1006,S155),IF(I155="","",I155))))</f>
        <v/>
      </c>
      <c r="Y155" s="66">
        <f>IF(A155="","",IF(COUNTIFS('Fütterung'!$A$7:$A$2006,A155,'Fütterung'!$E$7:$E$2006,"Ja")=0,"",_xlfn.MAXIFS('Fütterung'!$C$7:$C$2006,'Fütterung'!$A$7:$A$2006,A155,'Fütterung'!$E$7:$E$2006,"Ja")))</f>
        <v/>
      </c>
      <c r="Z155" s="67">
        <f>IF(Y155="","",TODAY()-Y155)</f>
        <v/>
      </c>
      <c r="AA155" s="65">
        <f>IF(A155="","",IF(AND(F155="männlich",H155="Adult"),"Adultes Männchen",IF(AND(Z155&lt;&gt;"",N(Z155)&gt;=FutterGrenze),"Frisst nicht",IF(U155="","Zu wenig Daten",IF(V155&gt;U155*TpM*FaktorUeber,"Überfällig",IF(V155&gt;U155*TpM*FaktorBald,"Fällig","Im Plan"))))))</f>
        <v/>
      </c>
      <c r="AB155" s="69">
        <f>IF(AND(AC155=1,W155&lt;&gt;""),N(W155)+ROW()/100000,"")</f>
        <v/>
      </c>
      <c r="AC155" s="69">
        <f>IF(A155="","",IF(SUBTOTAL(103,A155)=1,1,0))</f>
        <v/>
      </c>
    </row>
    <row r="156" ht="20" customHeight="1">
      <c r="A156" s="60" t="n"/>
      <c r="B156" s="61" t="n"/>
      <c r="C156" s="61" t="n"/>
      <c r="D156" s="61" t="n"/>
      <c r="E156" s="60" t="n"/>
      <c r="F156" s="60" t="n"/>
      <c r="G156" s="60" t="n"/>
      <c r="H156" s="60" t="n"/>
      <c r="I156" s="62" t="n"/>
      <c r="J156" s="63" t="n"/>
      <c r="K156" s="61" t="n"/>
      <c r="L156" s="64" t="n"/>
      <c r="M156" s="60" t="n"/>
      <c r="N156" s="60" t="n"/>
      <c r="O156" s="60" t="n"/>
      <c r="P156" s="61" t="n"/>
      <c r="Q156" s="61" t="n"/>
      <c r="R156" s="65">
        <f>IF(A156="","",TRIM(C156&amp;" "&amp;D156))</f>
        <v/>
      </c>
      <c r="S156" s="66">
        <f>IF(A156="","",IF(COUNTIFS('Häutungen'!$A$7:$A$1006,A156,'Häutungen'!$C$7:$C$1006,"&gt;0")=0,"",_xlfn.MAXIFS('Häutungen'!$C$7:$C$1006,'Häutungen'!$A$7:$A$1006,A156)))</f>
        <v/>
      </c>
      <c r="T156" s="67">
        <f>IF(A156="","",COUNTIFS('Häutungen'!$A$7:$A$1006,A156,'Häutungen'!$C$7:$C$1006,"&gt;0"))</f>
        <v/>
      </c>
      <c r="U156" s="68">
        <f>IF(A156="","",IF(T156&lt;2,"",IFERROR(AVERAGEIFS('Häutungen'!$J$7:$J$1006,'Häutungen'!$A$7:$A$1006,A156,'Häutungen'!$K$7:$K$1006,"&lt;3",'Häutungen'!$I$7:$I$1006,"&gt;0"),"")))</f>
        <v/>
      </c>
      <c r="V156" s="67">
        <f>IF(S156="","",TODAY()-S156)</f>
        <v/>
      </c>
      <c r="W156" s="66">
        <f>IF(OR(U156="",AND(F156="männlich",H156="Adult")),"",S156+ROUND(U156*TpM,0))</f>
        <v/>
      </c>
      <c r="X156" s="68">
        <f>IF(A156="","",IF(S156="",IF(I156="","",I156),IF(SUMIFS('Häutungen'!$D$7:$D$1006,'Häutungen'!$A$7:$A$1006,A156,'Häutungen'!$C$7:$C$1006,S156)&gt;0,SUMIFS('Häutungen'!$D$7:$D$1006,'Häutungen'!$A$7:$A$1006,A156,'Häutungen'!$C$7:$C$1006,S156),IF(I156="","",I156))))</f>
        <v/>
      </c>
      <c r="Y156" s="66">
        <f>IF(A156="","",IF(COUNTIFS('Fütterung'!$A$7:$A$2006,A156,'Fütterung'!$E$7:$E$2006,"Ja")=0,"",_xlfn.MAXIFS('Fütterung'!$C$7:$C$2006,'Fütterung'!$A$7:$A$2006,A156,'Fütterung'!$E$7:$E$2006,"Ja")))</f>
        <v/>
      </c>
      <c r="Z156" s="67">
        <f>IF(Y156="","",TODAY()-Y156)</f>
        <v/>
      </c>
      <c r="AA156" s="65">
        <f>IF(A156="","",IF(AND(F156="männlich",H156="Adult"),"Adultes Männchen",IF(AND(Z156&lt;&gt;"",N(Z156)&gt;=FutterGrenze),"Frisst nicht",IF(U156="","Zu wenig Daten",IF(V156&gt;U156*TpM*FaktorUeber,"Überfällig",IF(V156&gt;U156*TpM*FaktorBald,"Fällig","Im Plan"))))))</f>
        <v/>
      </c>
      <c r="AB156" s="69">
        <f>IF(AND(AC156=1,W156&lt;&gt;""),N(W156)+ROW()/100000,"")</f>
        <v/>
      </c>
      <c r="AC156" s="69">
        <f>IF(A156="","",IF(SUBTOTAL(103,A156)=1,1,0))</f>
        <v/>
      </c>
    </row>
    <row r="157" ht="20" customHeight="1">
      <c r="A157" s="60" t="n"/>
      <c r="B157" s="61" t="n"/>
      <c r="C157" s="61" t="n"/>
      <c r="D157" s="61" t="n"/>
      <c r="E157" s="60" t="n"/>
      <c r="F157" s="60" t="n"/>
      <c r="G157" s="60" t="n"/>
      <c r="H157" s="60" t="n"/>
      <c r="I157" s="62" t="n"/>
      <c r="J157" s="63" t="n"/>
      <c r="K157" s="61" t="n"/>
      <c r="L157" s="64" t="n"/>
      <c r="M157" s="60" t="n"/>
      <c r="N157" s="60" t="n"/>
      <c r="O157" s="60" t="n"/>
      <c r="P157" s="61" t="n"/>
      <c r="Q157" s="61" t="n"/>
      <c r="R157" s="65">
        <f>IF(A157="","",TRIM(C157&amp;" "&amp;D157))</f>
        <v/>
      </c>
      <c r="S157" s="66">
        <f>IF(A157="","",IF(COUNTIFS('Häutungen'!$A$7:$A$1006,A157,'Häutungen'!$C$7:$C$1006,"&gt;0")=0,"",_xlfn.MAXIFS('Häutungen'!$C$7:$C$1006,'Häutungen'!$A$7:$A$1006,A157)))</f>
        <v/>
      </c>
      <c r="T157" s="67">
        <f>IF(A157="","",COUNTIFS('Häutungen'!$A$7:$A$1006,A157,'Häutungen'!$C$7:$C$1006,"&gt;0"))</f>
        <v/>
      </c>
      <c r="U157" s="68">
        <f>IF(A157="","",IF(T157&lt;2,"",IFERROR(AVERAGEIFS('Häutungen'!$J$7:$J$1006,'Häutungen'!$A$7:$A$1006,A157,'Häutungen'!$K$7:$K$1006,"&lt;3",'Häutungen'!$I$7:$I$1006,"&gt;0"),"")))</f>
        <v/>
      </c>
      <c r="V157" s="67">
        <f>IF(S157="","",TODAY()-S157)</f>
        <v/>
      </c>
      <c r="W157" s="66">
        <f>IF(OR(U157="",AND(F157="männlich",H157="Adult")),"",S157+ROUND(U157*TpM,0))</f>
        <v/>
      </c>
      <c r="X157" s="68">
        <f>IF(A157="","",IF(S157="",IF(I157="","",I157),IF(SUMIFS('Häutungen'!$D$7:$D$1006,'Häutungen'!$A$7:$A$1006,A157,'Häutungen'!$C$7:$C$1006,S157)&gt;0,SUMIFS('Häutungen'!$D$7:$D$1006,'Häutungen'!$A$7:$A$1006,A157,'Häutungen'!$C$7:$C$1006,S157),IF(I157="","",I157))))</f>
        <v/>
      </c>
      <c r="Y157" s="66">
        <f>IF(A157="","",IF(COUNTIFS('Fütterung'!$A$7:$A$2006,A157,'Fütterung'!$E$7:$E$2006,"Ja")=0,"",_xlfn.MAXIFS('Fütterung'!$C$7:$C$2006,'Fütterung'!$A$7:$A$2006,A157,'Fütterung'!$E$7:$E$2006,"Ja")))</f>
        <v/>
      </c>
      <c r="Z157" s="67">
        <f>IF(Y157="","",TODAY()-Y157)</f>
        <v/>
      </c>
      <c r="AA157" s="65">
        <f>IF(A157="","",IF(AND(F157="männlich",H157="Adult"),"Adultes Männchen",IF(AND(Z157&lt;&gt;"",N(Z157)&gt;=FutterGrenze),"Frisst nicht",IF(U157="","Zu wenig Daten",IF(V157&gt;U157*TpM*FaktorUeber,"Überfällig",IF(V157&gt;U157*TpM*FaktorBald,"Fällig","Im Plan"))))))</f>
        <v/>
      </c>
      <c r="AB157" s="69">
        <f>IF(AND(AC157=1,W157&lt;&gt;""),N(W157)+ROW()/100000,"")</f>
        <v/>
      </c>
      <c r="AC157" s="69">
        <f>IF(A157="","",IF(SUBTOTAL(103,A157)=1,1,0))</f>
        <v/>
      </c>
    </row>
    <row r="158" ht="20" customHeight="1">
      <c r="A158" s="60" t="n"/>
      <c r="B158" s="61" t="n"/>
      <c r="C158" s="61" t="n"/>
      <c r="D158" s="61" t="n"/>
      <c r="E158" s="60" t="n"/>
      <c r="F158" s="60" t="n"/>
      <c r="G158" s="60" t="n"/>
      <c r="H158" s="60" t="n"/>
      <c r="I158" s="62" t="n"/>
      <c r="J158" s="63" t="n"/>
      <c r="K158" s="61" t="n"/>
      <c r="L158" s="64" t="n"/>
      <c r="M158" s="60" t="n"/>
      <c r="N158" s="60" t="n"/>
      <c r="O158" s="60" t="n"/>
      <c r="P158" s="61" t="n"/>
      <c r="Q158" s="61" t="n"/>
      <c r="R158" s="65">
        <f>IF(A158="","",TRIM(C158&amp;" "&amp;D158))</f>
        <v/>
      </c>
      <c r="S158" s="66">
        <f>IF(A158="","",IF(COUNTIFS('Häutungen'!$A$7:$A$1006,A158,'Häutungen'!$C$7:$C$1006,"&gt;0")=0,"",_xlfn.MAXIFS('Häutungen'!$C$7:$C$1006,'Häutungen'!$A$7:$A$1006,A158)))</f>
        <v/>
      </c>
      <c r="T158" s="67">
        <f>IF(A158="","",COUNTIFS('Häutungen'!$A$7:$A$1006,A158,'Häutungen'!$C$7:$C$1006,"&gt;0"))</f>
        <v/>
      </c>
      <c r="U158" s="68">
        <f>IF(A158="","",IF(T158&lt;2,"",IFERROR(AVERAGEIFS('Häutungen'!$J$7:$J$1006,'Häutungen'!$A$7:$A$1006,A158,'Häutungen'!$K$7:$K$1006,"&lt;3",'Häutungen'!$I$7:$I$1006,"&gt;0"),"")))</f>
        <v/>
      </c>
      <c r="V158" s="67">
        <f>IF(S158="","",TODAY()-S158)</f>
        <v/>
      </c>
      <c r="W158" s="66">
        <f>IF(OR(U158="",AND(F158="männlich",H158="Adult")),"",S158+ROUND(U158*TpM,0))</f>
        <v/>
      </c>
      <c r="X158" s="68">
        <f>IF(A158="","",IF(S158="",IF(I158="","",I158),IF(SUMIFS('Häutungen'!$D$7:$D$1006,'Häutungen'!$A$7:$A$1006,A158,'Häutungen'!$C$7:$C$1006,S158)&gt;0,SUMIFS('Häutungen'!$D$7:$D$1006,'Häutungen'!$A$7:$A$1006,A158,'Häutungen'!$C$7:$C$1006,S158),IF(I158="","",I158))))</f>
        <v/>
      </c>
      <c r="Y158" s="66">
        <f>IF(A158="","",IF(COUNTIFS('Fütterung'!$A$7:$A$2006,A158,'Fütterung'!$E$7:$E$2006,"Ja")=0,"",_xlfn.MAXIFS('Fütterung'!$C$7:$C$2006,'Fütterung'!$A$7:$A$2006,A158,'Fütterung'!$E$7:$E$2006,"Ja")))</f>
        <v/>
      </c>
      <c r="Z158" s="67">
        <f>IF(Y158="","",TODAY()-Y158)</f>
        <v/>
      </c>
      <c r="AA158" s="65">
        <f>IF(A158="","",IF(AND(F158="männlich",H158="Adult"),"Adultes Männchen",IF(AND(Z158&lt;&gt;"",N(Z158)&gt;=FutterGrenze),"Frisst nicht",IF(U158="","Zu wenig Daten",IF(V158&gt;U158*TpM*FaktorUeber,"Überfällig",IF(V158&gt;U158*TpM*FaktorBald,"Fällig","Im Plan"))))))</f>
        <v/>
      </c>
      <c r="AB158" s="69">
        <f>IF(AND(AC158=1,W158&lt;&gt;""),N(W158)+ROW()/100000,"")</f>
        <v/>
      </c>
      <c r="AC158" s="69">
        <f>IF(A158="","",IF(SUBTOTAL(103,A158)=1,1,0))</f>
        <v/>
      </c>
    </row>
    <row r="159" ht="20" customHeight="1">
      <c r="A159" s="60" t="n"/>
      <c r="B159" s="61" t="n"/>
      <c r="C159" s="61" t="n"/>
      <c r="D159" s="61" t="n"/>
      <c r="E159" s="60" t="n"/>
      <c r="F159" s="60" t="n"/>
      <c r="G159" s="60" t="n"/>
      <c r="H159" s="60" t="n"/>
      <c r="I159" s="62" t="n"/>
      <c r="J159" s="63" t="n"/>
      <c r="K159" s="61" t="n"/>
      <c r="L159" s="64" t="n"/>
      <c r="M159" s="60" t="n"/>
      <c r="N159" s="60" t="n"/>
      <c r="O159" s="60" t="n"/>
      <c r="P159" s="61" t="n"/>
      <c r="Q159" s="61" t="n"/>
      <c r="R159" s="65">
        <f>IF(A159="","",TRIM(C159&amp;" "&amp;D159))</f>
        <v/>
      </c>
      <c r="S159" s="66">
        <f>IF(A159="","",IF(COUNTIFS('Häutungen'!$A$7:$A$1006,A159,'Häutungen'!$C$7:$C$1006,"&gt;0")=0,"",_xlfn.MAXIFS('Häutungen'!$C$7:$C$1006,'Häutungen'!$A$7:$A$1006,A159)))</f>
        <v/>
      </c>
      <c r="T159" s="67">
        <f>IF(A159="","",COUNTIFS('Häutungen'!$A$7:$A$1006,A159,'Häutungen'!$C$7:$C$1006,"&gt;0"))</f>
        <v/>
      </c>
      <c r="U159" s="68">
        <f>IF(A159="","",IF(T159&lt;2,"",IFERROR(AVERAGEIFS('Häutungen'!$J$7:$J$1006,'Häutungen'!$A$7:$A$1006,A159,'Häutungen'!$K$7:$K$1006,"&lt;3",'Häutungen'!$I$7:$I$1006,"&gt;0"),"")))</f>
        <v/>
      </c>
      <c r="V159" s="67">
        <f>IF(S159="","",TODAY()-S159)</f>
        <v/>
      </c>
      <c r="W159" s="66">
        <f>IF(OR(U159="",AND(F159="männlich",H159="Adult")),"",S159+ROUND(U159*TpM,0))</f>
        <v/>
      </c>
      <c r="X159" s="68">
        <f>IF(A159="","",IF(S159="",IF(I159="","",I159),IF(SUMIFS('Häutungen'!$D$7:$D$1006,'Häutungen'!$A$7:$A$1006,A159,'Häutungen'!$C$7:$C$1006,S159)&gt;0,SUMIFS('Häutungen'!$D$7:$D$1006,'Häutungen'!$A$7:$A$1006,A159,'Häutungen'!$C$7:$C$1006,S159),IF(I159="","",I159))))</f>
        <v/>
      </c>
      <c r="Y159" s="66">
        <f>IF(A159="","",IF(COUNTIFS('Fütterung'!$A$7:$A$2006,A159,'Fütterung'!$E$7:$E$2006,"Ja")=0,"",_xlfn.MAXIFS('Fütterung'!$C$7:$C$2006,'Fütterung'!$A$7:$A$2006,A159,'Fütterung'!$E$7:$E$2006,"Ja")))</f>
        <v/>
      </c>
      <c r="Z159" s="67">
        <f>IF(Y159="","",TODAY()-Y159)</f>
        <v/>
      </c>
      <c r="AA159" s="65">
        <f>IF(A159="","",IF(AND(F159="männlich",H159="Adult"),"Adultes Männchen",IF(AND(Z159&lt;&gt;"",N(Z159)&gt;=FutterGrenze),"Frisst nicht",IF(U159="","Zu wenig Daten",IF(V159&gt;U159*TpM*FaktorUeber,"Überfällig",IF(V159&gt;U159*TpM*FaktorBald,"Fällig","Im Plan"))))))</f>
        <v/>
      </c>
      <c r="AB159" s="69">
        <f>IF(AND(AC159=1,W159&lt;&gt;""),N(W159)+ROW()/100000,"")</f>
        <v/>
      </c>
      <c r="AC159" s="69">
        <f>IF(A159="","",IF(SUBTOTAL(103,A159)=1,1,0))</f>
        <v/>
      </c>
    </row>
    <row r="160" ht="20" customHeight="1">
      <c r="A160" s="60" t="n"/>
      <c r="B160" s="61" t="n"/>
      <c r="C160" s="61" t="n"/>
      <c r="D160" s="61" t="n"/>
      <c r="E160" s="60" t="n"/>
      <c r="F160" s="60" t="n"/>
      <c r="G160" s="60" t="n"/>
      <c r="H160" s="60" t="n"/>
      <c r="I160" s="62" t="n"/>
      <c r="J160" s="63" t="n"/>
      <c r="K160" s="61" t="n"/>
      <c r="L160" s="64" t="n"/>
      <c r="M160" s="60" t="n"/>
      <c r="N160" s="60" t="n"/>
      <c r="O160" s="60" t="n"/>
      <c r="P160" s="61" t="n"/>
      <c r="Q160" s="61" t="n"/>
      <c r="R160" s="65">
        <f>IF(A160="","",TRIM(C160&amp;" "&amp;D160))</f>
        <v/>
      </c>
      <c r="S160" s="66">
        <f>IF(A160="","",IF(COUNTIFS('Häutungen'!$A$7:$A$1006,A160,'Häutungen'!$C$7:$C$1006,"&gt;0")=0,"",_xlfn.MAXIFS('Häutungen'!$C$7:$C$1006,'Häutungen'!$A$7:$A$1006,A160)))</f>
        <v/>
      </c>
      <c r="T160" s="67">
        <f>IF(A160="","",COUNTIFS('Häutungen'!$A$7:$A$1006,A160,'Häutungen'!$C$7:$C$1006,"&gt;0"))</f>
        <v/>
      </c>
      <c r="U160" s="68">
        <f>IF(A160="","",IF(T160&lt;2,"",IFERROR(AVERAGEIFS('Häutungen'!$J$7:$J$1006,'Häutungen'!$A$7:$A$1006,A160,'Häutungen'!$K$7:$K$1006,"&lt;3",'Häutungen'!$I$7:$I$1006,"&gt;0"),"")))</f>
        <v/>
      </c>
      <c r="V160" s="67">
        <f>IF(S160="","",TODAY()-S160)</f>
        <v/>
      </c>
      <c r="W160" s="66">
        <f>IF(OR(U160="",AND(F160="männlich",H160="Adult")),"",S160+ROUND(U160*TpM,0))</f>
        <v/>
      </c>
      <c r="X160" s="68">
        <f>IF(A160="","",IF(S160="",IF(I160="","",I160),IF(SUMIFS('Häutungen'!$D$7:$D$1006,'Häutungen'!$A$7:$A$1006,A160,'Häutungen'!$C$7:$C$1006,S160)&gt;0,SUMIFS('Häutungen'!$D$7:$D$1006,'Häutungen'!$A$7:$A$1006,A160,'Häutungen'!$C$7:$C$1006,S160),IF(I160="","",I160))))</f>
        <v/>
      </c>
      <c r="Y160" s="66">
        <f>IF(A160="","",IF(COUNTIFS('Fütterung'!$A$7:$A$2006,A160,'Fütterung'!$E$7:$E$2006,"Ja")=0,"",_xlfn.MAXIFS('Fütterung'!$C$7:$C$2006,'Fütterung'!$A$7:$A$2006,A160,'Fütterung'!$E$7:$E$2006,"Ja")))</f>
        <v/>
      </c>
      <c r="Z160" s="67">
        <f>IF(Y160="","",TODAY()-Y160)</f>
        <v/>
      </c>
      <c r="AA160" s="65">
        <f>IF(A160="","",IF(AND(F160="männlich",H160="Adult"),"Adultes Männchen",IF(AND(Z160&lt;&gt;"",N(Z160)&gt;=FutterGrenze),"Frisst nicht",IF(U160="","Zu wenig Daten",IF(V160&gt;U160*TpM*FaktorUeber,"Überfällig",IF(V160&gt;U160*TpM*FaktorBald,"Fällig","Im Plan"))))))</f>
        <v/>
      </c>
      <c r="AB160" s="69">
        <f>IF(AND(AC160=1,W160&lt;&gt;""),N(W160)+ROW()/100000,"")</f>
        <v/>
      </c>
      <c r="AC160" s="69">
        <f>IF(A160="","",IF(SUBTOTAL(103,A160)=1,1,0))</f>
        <v/>
      </c>
    </row>
    <row r="161" ht="20" customHeight="1">
      <c r="A161" s="60" t="n"/>
      <c r="B161" s="61" t="n"/>
      <c r="C161" s="61" t="n"/>
      <c r="D161" s="61" t="n"/>
      <c r="E161" s="60" t="n"/>
      <c r="F161" s="60" t="n"/>
      <c r="G161" s="60" t="n"/>
      <c r="H161" s="60" t="n"/>
      <c r="I161" s="62" t="n"/>
      <c r="J161" s="63" t="n"/>
      <c r="K161" s="61" t="n"/>
      <c r="L161" s="64" t="n"/>
      <c r="M161" s="60" t="n"/>
      <c r="N161" s="60" t="n"/>
      <c r="O161" s="60" t="n"/>
      <c r="P161" s="61" t="n"/>
      <c r="Q161" s="61" t="n"/>
      <c r="R161" s="65">
        <f>IF(A161="","",TRIM(C161&amp;" "&amp;D161))</f>
        <v/>
      </c>
      <c r="S161" s="66">
        <f>IF(A161="","",IF(COUNTIFS('Häutungen'!$A$7:$A$1006,A161,'Häutungen'!$C$7:$C$1006,"&gt;0")=0,"",_xlfn.MAXIFS('Häutungen'!$C$7:$C$1006,'Häutungen'!$A$7:$A$1006,A161)))</f>
        <v/>
      </c>
      <c r="T161" s="67">
        <f>IF(A161="","",COUNTIFS('Häutungen'!$A$7:$A$1006,A161,'Häutungen'!$C$7:$C$1006,"&gt;0"))</f>
        <v/>
      </c>
      <c r="U161" s="68">
        <f>IF(A161="","",IF(T161&lt;2,"",IFERROR(AVERAGEIFS('Häutungen'!$J$7:$J$1006,'Häutungen'!$A$7:$A$1006,A161,'Häutungen'!$K$7:$K$1006,"&lt;3",'Häutungen'!$I$7:$I$1006,"&gt;0"),"")))</f>
        <v/>
      </c>
      <c r="V161" s="67">
        <f>IF(S161="","",TODAY()-S161)</f>
        <v/>
      </c>
      <c r="W161" s="66">
        <f>IF(OR(U161="",AND(F161="männlich",H161="Adult")),"",S161+ROUND(U161*TpM,0))</f>
        <v/>
      </c>
      <c r="X161" s="68">
        <f>IF(A161="","",IF(S161="",IF(I161="","",I161),IF(SUMIFS('Häutungen'!$D$7:$D$1006,'Häutungen'!$A$7:$A$1006,A161,'Häutungen'!$C$7:$C$1006,S161)&gt;0,SUMIFS('Häutungen'!$D$7:$D$1006,'Häutungen'!$A$7:$A$1006,A161,'Häutungen'!$C$7:$C$1006,S161),IF(I161="","",I161))))</f>
        <v/>
      </c>
      <c r="Y161" s="66">
        <f>IF(A161="","",IF(COUNTIFS('Fütterung'!$A$7:$A$2006,A161,'Fütterung'!$E$7:$E$2006,"Ja")=0,"",_xlfn.MAXIFS('Fütterung'!$C$7:$C$2006,'Fütterung'!$A$7:$A$2006,A161,'Fütterung'!$E$7:$E$2006,"Ja")))</f>
        <v/>
      </c>
      <c r="Z161" s="67">
        <f>IF(Y161="","",TODAY()-Y161)</f>
        <v/>
      </c>
      <c r="AA161" s="65">
        <f>IF(A161="","",IF(AND(F161="männlich",H161="Adult"),"Adultes Männchen",IF(AND(Z161&lt;&gt;"",N(Z161)&gt;=FutterGrenze),"Frisst nicht",IF(U161="","Zu wenig Daten",IF(V161&gt;U161*TpM*FaktorUeber,"Überfällig",IF(V161&gt;U161*TpM*FaktorBald,"Fällig","Im Plan"))))))</f>
        <v/>
      </c>
      <c r="AB161" s="69">
        <f>IF(AND(AC161=1,W161&lt;&gt;""),N(W161)+ROW()/100000,"")</f>
        <v/>
      </c>
      <c r="AC161" s="69">
        <f>IF(A161="","",IF(SUBTOTAL(103,A161)=1,1,0))</f>
        <v/>
      </c>
    </row>
    <row r="162" ht="20" customHeight="1">
      <c r="A162" s="60" t="n"/>
      <c r="B162" s="61" t="n"/>
      <c r="C162" s="61" t="n"/>
      <c r="D162" s="61" t="n"/>
      <c r="E162" s="60" t="n"/>
      <c r="F162" s="60" t="n"/>
      <c r="G162" s="60" t="n"/>
      <c r="H162" s="60" t="n"/>
      <c r="I162" s="62" t="n"/>
      <c r="J162" s="63" t="n"/>
      <c r="K162" s="61" t="n"/>
      <c r="L162" s="64" t="n"/>
      <c r="M162" s="60" t="n"/>
      <c r="N162" s="60" t="n"/>
      <c r="O162" s="60" t="n"/>
      <c r="P162" s="61" t="n"/>
      <c r="Q162" s="61" t="n"/>
      <c r="R162" s="65">
        <f>IF(A162="","",TRIM(C162&amp;" "&amp;D162))</f>
        <v/>
      </c>
      <c r="S162" s="66">
        <f>IF(A162="","",IF(COUNTIFS('Häutungen'!$A$7:$A$1006,A162,'Häutungen'!$C$7:$C$1006,"&gt;0")=0,"",_xlfn.MAXIFS('Häutungen'!$C$7:$C$1006,'Häutungen'!$A$7:$A$1006,A162)))</f>
        <v/>
      </c>
      <c r="T162" s="67">
        <f>IF(A162="","",COUNTIFS('Häutungen'!$A$7:$A$1006,A162,'Häutungen'!$C$7:$C$1006,"&gt;0"))</f>
        <v/>
      </c>
      <c r="U162" s="68">
        <f>IF(A162="","",IF(T162&lt;2,"",IFERROR(AVERAGEIFS('Häutungen'!$J$7:$J$1006,'Häutungen'!$A$7:$A$1006,A162,'Häutungen'!$K$7:$K$1006,"&lt;3",'Häutungen'!$I$7:$I$1006,"&gt;0"),"")))</f>
        <v/>
      </c>
      <c r="V162" s="67">
        <f>IF(S162="","",TODAY()-S162)</f>
        <v/>
      </c>
      <c r="W162" s="66">
        <f>IF(OR(U162="",AND(F162="männlich",H162="Adult")),"",S162+ROUND(U162*TpM,0))</f>
        <v/>
      </c>
      <c r="X162" s="68">
        <f>IF(A162="","",IF(S162="",IF(I162="","",I162),IF(SUMIFS('Häutungen'!$D$7:$D$1006,'Häutungen'!$A$7:$A$1006,A162,'Häutungen'!$C$7:$C$1006,S162)&gt;0,SUMIFS('Häutungen'!$D$7:$D$1006,'Häutungen'!$A$7:$A$1006,A162,'Häutungen'!$C$7:$C$1006,S162),IF(I162="","",I162))))</f>
        <v/>
      </c>
      <c r="Y162" s="66">
        <f>IF(A162="","",IF(COUNTIFS('Fütterung'!$A$7:$A$2006,A162,'Fütterung'!$E$7:$E$2006,"Ja")=0,"",_xlfn.MAXIFS('Fütterung'!$C$7:$C$2006,'Fütterung'!$A$7:$A$2006,A162,'Fütterung'!$E$7:$E$2006,"Ja")))</f>
        <v/>
      </c>
      <c r="Z162" s="67">
        <f>IF(Y162="","",TODAY()-Y162)</f>
        <v/>
      </c>
      <c r="AA162" s="65">
        <f>IF(A162="","",IF(AND(F162="männlich",H162="Adult"),"Adultes Männchen",IF(AND(Z162&lt;&gt;"",N(Z162)&gt;=FutterGrenze),"Frisst nicht",IF(U162="","Zu wenig Daten",IF(V162&gt;U162*TpM*FaktorUeber,"Überfällig",IF(V162&gt;U162*TpM*FaktorBald,"Fällig","Im Plan"))))))</f>
        <v/>
      </c>
      <c r="AB162" s="69">
        <f>IF(AND(AC162=1,W162&lt;&gt;""),N(W162)+ROW()/100000,"")</f>
        <v/>
      </c>
      <c r="AC162" s="69">
        <f>IF(A162="","",IF(SUBTOTAL(103,A162)=1,1,0))</f>
        <v/>
      </c>
    </row>
    <row r="163" ht="20" customHeight="1">
      <c r="A163" s="60" t="n"/>
      <c r="B163" s="61" t="n"/>
      <c r="C163" s="61" t="n"/>
      <c r="D163" s="61" t="n"/>
      <c r="E163" s="60" t="n"/>
      <c r="F163" s="60" t="n"/>
      <c r="G163" s="60" t="n"/>
      <c r="H163" s="60" t="n"/>
      <c r="I163" s="62" t="n"/>
      <c r="J163" s="63" t="n"/>
      <c r="K163" s="61" t="n"/>
      <c r="L163" s="64" t="n"/>
      <c r="M163" s="60" t="n"/>
      <c r="N163" s="60" t="n"/>
      <c r="O163" s="60" t="n"/>
      <c r="P163" s="61" t="n"/>
      <c r="Q163" s="61" t="n"/>
      <c r="R163" s="65">
        <f>IF(A163="","",TRIM(C163&amp;" "&amp;D163))</f>
        <v/>
      </c>
      <c r="S163" s="66">
        <f>IF(A163="","",IF(COUNTIFS('Häutungen'!$A$7:$A$1006,A163,'Häutungen'!$C$7:$C$1006,"&gt;0")=0,"",_xlfn.MAXIFS('Häutungen'!$C$7:$C$1006,'Häutungen'!$A$7:$A$1006,A163)))</f>
        <v/>
      </c>
      <c r="T163" s="67">
        <f>IF(A163="","",COUNTIFS('Häutungen'!$A$7:$A$1006,A163,'Häutungen'!$C$7:$C$1006,"&gt;0"))</f>
        <v/>
      </c>
      <c r="U163" s="68">
        <f>IF(A163="","",IF(T163&lt;2,"",IFERROR(AVERAGEIFS('Häutungen'!$J$7:$J$1006,'Häutungen'!$A$7:$A$1006,A163,'Häutungen'!$K$7:$K$1006,"&lt;3",'Häutungen'!$I$7:$I$1006,"&gt;0"),"")))</f>
        <v/>
      </c>
      <c r="V163" s="67">
        <f>IF(S163="","",TODAY()-S163)</f>
        <v/>
      </c>
      <c r="W163" s="66">
        <f>IF(OR(U163="",AND(F163="männlich",H163="Adult")),"",S163+ROUND(U163*TpM,0))</f>
        <v/>
      </c>
      <c r="X163" s="68">
        <f>IF(A163="","",IF(S163="",IF(I163="","",I163),IF(SUMIFS('Häutungen'!$D$7:$D$1006,'Häutungen'!$A$7:$A$1006,A163,'Häutungen'!$C$7:$C$1006,S163)&gt;0,SUMIFS('Häutungen'!$D$7:$D$1006,'Häutungen'!$A$7:$A$1006,A163,'Häutungen'!$C$7:$C$1006,S163),IF(I163="","",I163))))</f>
        <v/>
      </c>
      <c r="Y163" s="66">
        <f>IF(A163="","",IF(COUNTIFS('Fütterung'!$A$7:$A$2006,A163,'Fütterung'!$E$7:$E$2006,"Ja")=0,"",_xlfn.MAXIFS('Fütterung'!$C$7:$C$2006,'Fütterung'!$A$7:$A$2006,A163,'Fütterung'!$E$7:$E$2006,"Ja")))</f>
        <v/>
      </c>
      <c r="Z163" s="67">
        <f>IF(Y163="","",TODAY()-Y163)</f>
        <v/>
      </c>
      <c r="AA163" s="65">
        <f>IF(A163="","",IF(AND(F163="männlich",H163="Adult"),"Adultes Männchen",IF(AND(Z163&lt;&gt;"",N(Z163)&gt;=FutterGrenze),"Frisst nicht",IF(U163="","Zu wenig Daten",IF(V163&gt;U163*TpM*FaktorUeber,"Überfällig",IF(V163&gt;U163*TpM*FaktorBald,"Fällig","Im Plan"))))))</f>
        <v/>
      </c>
      <c r="AB163" s="69">
        <f>IF(AND(AC163=1,W163&lt;&gt;""),N(W163)+ROW()/100000,"")</f>
        <v/>
      </c>
      <c r="AC163" s="69">
        <f>IF(A163="","",IF(SUBTOTAL(103,A163)=1,1,0))</f>
        <v/>
      </c>
    </row>
    <row r="164" ht="20" customHeight="1">
      <c r="A164" s="60" t="n"/>
      <c r="B164" s="61" t="n"/>
      <c r="C164" s="61" t="n"/>
      <c r="D164" s="61" t="n"/>
      <c r="E164" s="60" t="n"/>
      <c r="F164" s="60" t="n"/>
      <c r="G164" s="60" t="n"/>
      <c r="H164" s="60" t="n"/>
      <c r="I164" s="62" t="n"/>
      <c r="J164" s="63" t="n"/>
      <c r="K164" s="61" t="n"/>
      <c r="L164" s="64" t="n"/>
      <c r="M164" s="60" t="n"/>
      <c r="N164" s="60" t="n"/>
      <c r="O164" s="60" t="n"/>
      <c r="P164" s="61" t="n"/>
      <c r="Q164" s="61" t="n"/>
      <c r="R164" s="65">
        <f>IF(A164="","",TRIM(C164&amp;" "&amp;D164))</f>
        <v/>
      </c>
      <c r="S164" s="66">
        <f>IF(A164="","",IF(COUNTIFS('Häutungen'!$A$7:$A$1006,A164,'Häutungen'!$C$7:$C$1006,"&gt;0")=0,"",_xlfn.MAXIFS('Häutungen'!$C$7:$C$1006,'Häutungen'!$A$7:$A$1006,A164)))</f>
        <v/>
      </c>
      <c r="T164" s="67">
        <f>IF(A164="","",COUNTIFS('Häutungen'!$A$7:$A$1006,A164,'Häutungen'!$C$7:$C$1006,"&gt;0"))</f>
        <v/>
      </c>
      <c r="U164" s="68">
        <f>IF(A164="","",IF(T164&lt;2,"",IFERROR(AVERAGEIFS('Häutungen'!$J$7:$J$1006,'Häutungen'!$A$7:$A$1006,A164,'Häutungen'!$K$7:$K$1006,"&lt;3",'Häutungen'!$I$7:$I$1006,"&gt;0"),"")))</f>
        <v/>
      </c>
      <c r="V164" s="67">
        <f>IF(S164="","",TODAY()-S164)</f>
        <v/>
      </c>
      <c r="W164" s="66">
        <f>IF(OR(U164="",AND(F164="männlich",H164="Adult")),"",S164+ROUND(U164*TpM,0))</f>
        <v/>
      </c>
      <c r="X164" s="68">
        <f>IF(A164="","",IF(S164="",IF(I164="","",I164),IF(SUMIFS('Häutungen'!$D$7:$D$1006,'Häutungen'!$A$7:$A$1006,A164,'Häutungen'!$C$7:$C$1006,S164)&gt;0,SUMIFS('Häutungen'!$D$7:$D$1006,'Häutungen'!$A$7:$A$1006,A164,'Häutungen'!$C$7:$C$1006,S164),IF(I164="","",I164))))</f>
        <v/>
      </c>
      <c r="Y164" s="66">
        <f>IF(A164="","",IF(COUNTIFS('Fütterung'!$A$7:$A$2006,A164,'Fütterung'!$E$7:$E$2006,"Ja")=0,"",_xlfn.MAXIFS('Fütterung'!$C$7:$C$2006,'Fütterung'!$A$7:$A$2006,A164,'Fütterung'!$E$7:$E$2006,"Ja")))</f>
        <v/>
      </c>
      <c r="Z164" s="67">
        <f>IF(Y164="","",TODAY()-Y164)</f>
        <v/>
      </c>
      <c r="AA164" s="65">
        <f>IF(A164="","",IF(AND(F164="männlich",H164="Adult"),"Adultes Männchen",IF(AND(Z164&lt;&gt;"",N(Z164)&gt;=FutterGrenze),"Frisst nicht",IF(U164="","Zu wenig Daten",IF(V164&gt;U164*TpM*FaktorUeber,"Überfällig",IF(V164&gt;U164*TpM*FaktorBald,"Fällig","Im Plan"))))))</f>
        <v/>
      </c>
      <c r="AB164" s="69">
        <f>IF(AND(AC164=1,W164&lt;&gt;""),N(W164)+ROW()/100000,"")</f>
        <v/>
      </c>
      <c r="AC164" s="69">
        <f>IF(A164="","",IF(SUBTOTAL(103,A164)=1,1,0))</f>
        <v/>
      </c>
    </row>
    <row r="165" ht="20" customHeight="1">
      <c r="A165" s="60" t="n"/>
      <c r="B165" s="61" t="n"/>
      <c r="C165" s="61" t="n"/>
      <c r="D165" s="61" t="n"/>
      <c r="E165" s="60" t="n"/>
      <c r="F165" s="60" t="n"/>
      <c r="G165" s="60" t="n"/>
      <c r="H165" s="60" t="n"/>
      <c r="I165" s="62" t="n"/>
      <c r="J165" s="63" t="n"/>
      <c r="K165" s="61" t="n"/>
      <c r="L165" s="64" t="n"/>
      <c r="M165" s="60" t="n"/>
      <c r="N165" s="60" t="n"/>
      <c r="O165" s="60" t="n"/>
      <c r="P165" s="61" t="n"/>
      <c r="Q165" s="61" t="n"/>
      <c r="R165" s="65">
        <f>IF(A165="","",TRIM(C165&amp;" "&amp;D165))</f>
        <v/>
      </c>
      <c r="S165" s="66">
        <f>IF(A165="","",IF(COUNTIFS('Häutungen'!$A$7:$A$1006,A165,'Häutungen'!$C$7:$C$1006,"&gt;0")=0,"",_xlfn.MAXIFS('Häutungen'!$C$7:$C$1006,'Häutungen'!$A$7:$A$1006,A165)))</f>
        <v/>
      </c>
      <c r="T165" s="67">
        <f>IF(A165="","",COUNTIFS('Häutungen'!$A$7:$A$1006,A165,'Häutungen'!$C$7:$C$1006,"&gt;0"))</f>
        <v/>
      </c>
      <c r="U165" s="68">
        <f>IF(A165="","",IF(T165&lt;2,"",IFERROR(AVERAGEIFS('Häutungen'!$J$7:$J$1006,'Häutungen'!$A$7:$A$1006,A165,'Häutungen'!$K$7:$K$1006,"&lt;3",'Häutungen'!$I$7:$I$1006,"&gt;0"),"")))</f>
        <v/>
      </c>
      <c r="V165" s="67">
        <f>IF(S165="","",TODAY()-S165)</f>
        <v/>
      </c>
      <c r="W165" s="66">
        <f>IF(OR(U165="",AND(F165="männlich",H165="Adult")),"",S165+ROUND(U165*TpM,0))</f>
        <v/>
      </c>
      <c r="X165" s="68">
        <f>IF(A165="","",IF(S165="",IF(I165="","",I165),IF(SUMIFS('Häutungen'!$D$7:$D$1006,'Häutungen'!$A$7:$A$1006,A165,'Häutungen'!$C$7:$C$1006,S165)&gt;0,SUMIFS('Häutungen'!$D$7:$D$1006,'Häutungen'!$A$7:$A$1006,A165,'Häutungen'!$C$7:$C$1006,S165),IF(I165="","",I165))))</f>
        <v/>
      </c>
      <c r="Y165" s="66">
        <f>IF(A165="","",IF(COUNTIFS('Fütterung'!$A$7:$A$2006,A165,'Fütterung'!$E$7:$E$2006,"Ja")=0,"",_xlfn.MAXIFS('Fütterung'!$C$7:$C$2006,'Fütterung'!$A$7:$A$2006,A165,'Fütterung'!$E$7:$E$2006,"Ja")))</f>
        <v/>
      </c>
      <c r="Z165" s="67">
        <f>IF(Y165="","",TODAY()-Y165)</f>
        <v/>
      </c>
      <c r="AA165" s="65">
        <f>IF(A165="","",IF(AND(F165="männlich",H165="Adult"),"Adultes Männchen",IF(AND(Z165&lt;&gt;"",N(Z165)&gt;=FutterGrenze),"Frisst nicht",IF(U165="","Zu wenig Daten",IF(V165&gt;U165*TpM*FaktorUeber,"Überfällig",IF(V165&gt;U165*TpM*FaktorBald,"Fällig","Im Plan"))))))</f>
        <v/>
      </c>
      <c r="AB165" s="69">
        <f>IF(AND(AC165=1,W165&lt;&gt;""),N(W165)+ROW()/100000,"")</f>
        <v/>
      </c>
      <c r="AC165" s="69">
        <f>IF(A165="","",IF(SUBTOTAL(103,A165)=1,1,0))</f>
        <v/>
      </c>
    </row>
    <row r="166" ht="20" customHeight="1">
      <c r="A166" s="60" t="n"/>
      <c r="B166" s="61" t="n"/>
      <c r="C166" s="61" t="n"/>
      <c r="D166" s="61" t="n"/>
      <c r="E166" s="60" t="n"/>
      <c r="F166" s="60" t="n"/>
      <c r="G166" s="60" t="n"/>
      <c r="H166" s="60" t="n"/>
      <c r="I166" s="62" t="n"/>
      <c r="J166" s="63" t="n"/>
      <c r="K166" s="61" t="n"/>
      <c r="L166" s="64" t="n"/>
      <c r="M166" s="60" t="n"/>
      <c r="N166" s="60" t="n"/>
      <c r="O166" s="60" t="n"/>
      <c r="P166" s="61" t="n"/>
      <c r="Q166" s="61" t="n"/>
      <c r="R166" s="65">
        <f>IF(A166="","",TRIM(C166&amp;" "&amp;D166))</f>
        <v/>
      </c>
      <c r="S166" s="66">
        <f>IF(A166="","",IF(COUNTIFS('Häutungen'!$A$7:$A$1006,A166,'Häutungen'!$C$7:$C$1006,"&gt;0")=0,"",_xlfn.MAXIFS('Häutungen'!$C$7:$C$1006,'Häutungen'!$A$7:$A$1006,A166)))</f>
        <v/>
      </c>
      <c r="T166" s="67">
        <f>IF(A166="","",COUNTIFS('Häutungen'!$A$7:$A$1006,A166,'Häutungen'!$C$7:$C$1006,"&gt;0"))</f>
        <v/>
      </c>
      <c r="U166" s="68">
        <f>IF(A166="","",IF(T166&lt;2,"",IFERROR(AVERAGEIFS('Häutungen'!$J$7:$J$1006,'Häutungen'!$A$7:$A$1006,A166,'Häutungen'!$K$7:$K$1006,"&lt;3",'Häutungen'!$I$7:$I$1006,"&gt;0"),"")))</f>
        <v/>
      </c>
      <c r="V166" s="67">
        <f>IF(S166="","",TODAY()-S166)</f>
        <v/>
      </c>
      <c r="W166" s="66">
        <f>IF(OR(U166="",AND(F166="männlich",H166="Adult")),"",S166+ROUND(U166*TpM,0))</f>
        <v/>
      </c>
      <c r="X166" s="68">
        <f>IF(A166="","",IF(S166="",IF(I166="","",I166),IF(SUMIFS('Häutungen'!$D$7:$D$1006,'Häutungen'!$A$7:$A$1006,A166,'Häutungen'!$C$7:$C$1006,S166)&gt;0,SUMIFS('Häutungen'!$D$7:$D$1006,'Häutungen'!$A$7:$A$1006,A166,'Häutungen'!$C$7:$C$1006,S166),IF(I166="","",I166))))</f>
        <v/>
      </c>
      <c r="Y166" s="66">
        <f>IF(A166="","",IF(COUNTIFS('Fütterung'!$A$7:$A$2006,A166,'Fütterung'!$E$7:$E$2006,"Ja")=0,"",_xlfn.MAXIFS('Fütterung'!$C$7:$C$2006,'Fütterung'!$A$7:$A$2006,A166,'Fütterung'!$E$7:$E$2006,"Ja")))</f>
        <v/>
      </c>
      <c r="Z166" s="67">
        <f>IF(Y166="","",TODAY()-Y166)</f>
        <v/>
      </c>
      <c r="AA166" s="65">
        <f>IF(A166="","",IF(AND(F166="männlich",H166="Adult"),"Adultes Männchen",IF(AND(Z166&lt;&gt;"",N(Z166)&gt;=FutterGrenze),"Frisst nicht",IF(U166="","Zu wenig Daten",IF(V166&gt;U166*TpM*FaktorUeber,"Überfällig",IF(V166&gt;U166*TpM*FaktorBald,"Fällig","Im Plan"))))))</f>
        <v/>
      </c>
      <c r="AB166" s="69">
        <f>IF(AND(AC166=1,W166&lt;&gt;""),N(W166)+ROW()/100000,"")</f>
        <v/>
      </c>
      <c r="AC166" s="69">
        <f>IF(A166="","",IF(SUBTOTAL(103,A166)=1,1,0))</f>
        <v/>
      </c>
    </row>
    <row r="167" ht="20" customHeight="1">
      <c r="A167" s="60" t="n"/>
      <c r="B167" s="61" t="n"/>
      <c r="C167" s="61" t="n"/>
      <c r="D167" s="61" t="n"/>
      <c r="E167" s="60" t="n"/>
      <c r="F167" s="60" t="n"/>
      <c r="G167" s="60" t="n"/>
      <c r="H167" s="60" t="n"/>
      <c r="I167" s="62" t="n"/>
      <c r="J167" s="63" t="n"/>
      <c r="K167" s="61" t="n"/>
      <c r="L167" s="64" t="n"/>
      <c r="M167" s="60" t="n"/>
      <c r="N167" s="60" t="n"/>
      <c r="O167" s="60" t="n"/>
      <c r="P167" s="61" t="n"/>
      <c r="Q167" s="61" t="n"/>
      <c r="R167" s="65">
        <f>IF(A167="","",TRIM(C167&amp;" "&amp;D167))</f>
        <v/>
      </c>
      <c r="S167" s="66">
        <f>IF(A167="","",IF(COUNTIFS('Häutungen'!$A$7:$A$1006,A167,'Häutungen'!$C$7:$C$1006,"&gt;0")=0,"",_xlfn.MAXIFS('Häutungen'!$C$7:$C$1006,'Häutungen'!$A$7:$A$1006,A167)))</f>
        <v/>
      </c>
      <c r="T167" s="67">
        <f>IF(A167="","",COUNTIFS('Häutungen'!$A$7:$A$1006,A167,'Häutungen'!$C$7:$C$1006,"&gt;0"))</f>
        <v/>
      </c>
      <c r="U167" s="68">
        <f>IF(A167="","",IF(T167&lt;2,"",IFERROR(AVERAGEIFS('Häutungen'!$J$7:$J$1006,'Häutungen'!$A$7:$A$1006,A167,'Häutungen'!$K$7:$K$1006,"&lt;3",'Häutungen'!$I$7:$I$1006,"&gt;0"),"")))</f>
        <v/>
      </c>
      <c r="V167" s="67">
        <f>IF(S167="","",TODAY()-S167)</f>
        <v/>
      </c>
      <c r="W167" s="66">
        <f>IF(OR(U167="",AND(F167="männlich",H167="Adult")),"",S167+ROUND(U167*TpM,0))</f>
        <v/>
      </c>
      <c r="X167" s="68">
        <f>IF(A167="","",IF(S167="",IF(I167="","",I167),IF(SUMIFS('Häutungen'!$D$7:$D$1006,'Häutungen'!$A$7:$A$1006,A167,'Häutungen'!$C$7:$C$1006,S167)&gt;0,SUMIFS('Häutungen'!$D$7:$D$1006,'Häutungen'!$A$7:$A$1006,A167,'Häutungen'!$C$7:$C$1006,S167),IF(I167="","",I167))))</f>
        <v/>
      </c>
      <c r="Y167" s="66">
        <f>IF(A167="","",IF(COUNTIFS('Fütterung'!$A$7:$A$2006,A167,'Fütterung'!$E$7:$E$2006,"Ja")=0,"",_xlfn.MAXIFS('Fütterung'!$C$7:$C$2006,'Fütterung'!$A$7:$A$2006,A167,'Fütterung'!$E$7:$E$2006,"Ja")))</f>
        <v/>
      </c>
      <c r="Z167" s="67">
        <f>IF(Y167="","",TODAY()-Y167)</f>
        <v/>
      </c>
      <c r="AA167" s="65">
        <f>IF(A167="","",IF(AND(F167="männlich",H167="Adult"),"Adultes Männchen",IF(AND(Z167&lt;&gt;"",N(Z167)&gt;=FutterGrenze),"Frisst nicht",IF(U167="","Zu wenig Daten",IF(V167&gt;U167*TpM*FaktorUeber,"Überfällig",IF(V167&gt;U167*TpM*FaktorBald,"Fällig","Im Plan"))))))</f>
        <v/>
      </c>
      <c r="AB167" s="69">
        <f>IF(AND(AC167=1,W167&lt;&gt;""),N(W167)+ROW()/100000,"")</f>
        <v/>
      </c>
      <c r="AC167" s="69">
        <f>IF(A167="","",IF(SUBTOTAL(103,A167)=1,1,0))</f>
        <v/>
      </c>
    </row>
    <row r="168" ht="20" customHeight="1">
      <c r="A168" s="60" t="n"/>
      <c r="B168" s="61" t="n"/>
      <c r="C168" s="61" t="n"/>
      <c r="D168" s="61" t="n"/>
      <c r="E168" s="60" t="n"/>
      <c r="F168" s="60" t="n"/>
      <c r="G168" s="60" t="n"/>
      <c r="H168" s="60" t="n"/>
      <c r="I168" s="62" t="n"/>
      <c r="J168" s="63" t="n"/>
      <c r="K168" s="61" t="n"/>
      <c r="L168" s="64" t="n"/>
      <c r="M168" s="60" t="n"/>
      <c r="N168" s="60" t="n"/>
      <c r="O168" s="60" t="n"/>
      <c r="P168" s="61" t="n"/>
      <c r="Q168" s="61" t="n"/>
      <c r="R168" s="65">
        <f>IF(A168="","",TRIM(C168&amp;" "&amp;D168))</f>
        <v/>
      </c>
      <c r="S168" s="66">
        <f>IF(A168="","",IF(COUNTIFS('Häutungen'!$A$7:$A$1006,A168,'Häutungen'!$C$7:$C$1006,"&gt;0")=0,"",_xlfn.MAXIFS('Häutungen'!$C$7:$C$1006,'Häutungen'!$A$7:$A$1006,A168)))</f>
        <v/>
      </c>
      <c r="T168" s="67">
        <f>IF(A168="","",COUNTIFS('Häutungen'!$A$7:$A$1006,A168,'Häutungen'!$C$7:$C$1006,"&gt;0"))</f>
        <v/>
      </c>
      <c r="U168" s="68">
        <f>IF(A168="","",IF(T168&lt;2,"",IFERROR(AVERAGEIFS('Häutungen'!$J$7:$J$1006,'Häutungen'!$A$7:$A$1006,A168,'Häutungen'!$K$7:$K$1006,"&lt;3",'Häutungen'!$I$7:$I$1006,"&gt;0"),"")))</f>
        <v/>
      </c>
      <c r="V168" s="67">
        <f>IF(S168="","",TODAY()-S168)</f>
        <v/>
      </c>
      <c r="W168" s="66">
        <f>IF(OR(U168="",AND(F168="männlich",H168="Adult")),"",S168+ROUND(U168*TpM,0))</f>
        <v/>
      </c>
      <c r="X168" s="68">
        <f>IF(A168="","",IF(S168="",IF(I168="","",I168),IF(SUMIFS('Häutungen'!$D$7:$D$1006,'Häutungen'!$A$7:$A$1006,A168,'Häutungen'!$C$7:$C$1006,S168)&gt;0,SUMIFS('Häutungen'!$D$7:$D$1006,'Häutungen'!$A$7:$A$1006,A168,'Häutungen'!$C$7:$C$1006,S168),IF(I168="","",I168))))</f>
        <v/>
      </c>
      <c r="Y168" s="66">
        <f>IF(A168="","",IF(COUNTIFS('Fütterung'!$A$7:$A$2006,A168,'Fütterung'!$E$7:$E$2006,"Ja")=0,"",_xlfn.MAXIFS('Fütterung'!$C$7:$C$2006,'Fütterung'!$A$7:$A$2006,A168,'Fütterung'!$E$7:$E$2006,"Ja")))</f>
        <v/>
      </c>
      <c r="Z168" s="67">
        <f>IF(Y168="","",TODAY()-Y168)</f>
        <v/>
      </c>
      <c r="AA168" s="65">
        <f>IF(A168="","",IF(AND(F168="männlich",H168="Adult"),"Adultes Männchen",IF(AND(Z168&lt;&gt;"",N(Z168)&gt;=FutterGrenze),"Frisst nicht",IF(U168="","Zu wenig Daten",IF(V168&gt;U168*TpM*FaktorUeber,"Überfällig",IF(V168&gt;U168*TpM*FaktorBald,"Fällig","Im Plan"))))))</f>
        <v/>
      </c>
      <c r="AB168" s="69">
        <f>IF(AND(AC168=1,W168&lt;&gt;""),N(W168)+ROW()/100000,"")</f>
        <v/>
      </c>
      <c r="AC168" s="69">
        <f>IF(A168="","",IF(SUBTOTAL(103,A168)=1,1,0))</f>
        <v/>
      </c>
    </row>
    <row r="169" ht="20" customHeight="1">
      <c r="A169" s="60" t="n"/>
      <c r="B169" s="61" t="n"/>
      <c r="C169" s="61" t="n"/>
      <c r="D169" s="61" t="n"/>
      <c r="E169" s="60" t="n"/>
      <c r="F169" s="60" t="n"/>
      <c r="G169" s="60" t="n"/>
      <c r="H169" s="60" t="n"/>
      <c r="I169" s="62" t="n"/>
      <c r="J169" s="63" t="n"/>
      <c r="K169" s="61" t="n"/>
      <c r="L169" s="64" t="n"/>
      <c r="M169" s="60" t="n"/>
      <c r="N169" s="60" t="n"/>
      <c r="O169" s="60" t="n"/>
      <c r="P169" s="61" t="n"/>
      <c r="Q169" s="61" t="n"/>
      <c r="R169" s="65">
        <f>IF(A169="","",TRIM(C169&amp;" "&amp;D169))</f>
        <v/>
      </c>
      <c r="S169" s="66">
        <f>IF(A169="","",IF(COUNTIFS('Häutungen'!$A$7:$A$1006,A169,'Häutungen'!$C$7:$C$1006,"&gt;0")=0,"",_xlfn.MAXIFS('Häutungen'!$C$7:$C$1006,'Häutungen'!$A$7:$A$1006,A169)))</f>
        <v/>
      </c>
      <c r="T169" s="67">
        <f>IF(A169="","",COUNTIFS('Häutungen'!$A$7:$A$1006,A169,'Häutungen'!$C$7:$C$1006,"&gt;0"))</f>
        <v/>
      </c>
      <c r="U169" s="68">
        <f>IF(A169="","",IF(T169&lt;2,"",IFERROR(AVERAGEIFS('Häutungen'!$J$7:$J$1006,'Häutungen'!$A$7:$A$1006,A169,'Häutungen'!$K$7:$K$1006,"&lt;3",'Häutungen'!$I$7:$I$1006,"&gt;0"),"")))</f>
        <v/>
      </c>
      <c r="V169" s="67">
        <f>IF(S169="","",TODAY()-S169)</f>
        <v/>
      </c>
      <c r="W169" s="66">
        <f>IF(OR(U169="",AND(F169="männlich",H169="Adult")),"",S169+ROUND(U169*TpM,0))</f>
        <v/>
      </c>
      <c r="X169" s="68">
        <f>IF(A169="","",IF(S169="",IF(I169="","",I169),IF(SUMIFS('Häutungen'!$D$7:$D$1006,'Häutungen'!$A$7:$A$1006,A169,'Häutungen'!$C$7:$C$1006,S169)&gt;0,SUMIFS('Häutungen'!$D$7:$D$1006,'Häutungen'!$A$7:$A$1006,A169,'Häutungen'!$C$7:$C$1006,S169),IF(I169="","",I169))))</f>
        <v/>
      </c>
      <c r="Y169" s="66">
        <f>IF(A169="","",IF(COUNTIFS('Fütterung'!$A$7:$A$2006,A169,'Fütterung'!$E$7:$E$2006,"Ja")=0,"",_xlfn.MAXIFS('Fütterung'!$C$7:$C$2006,'Fütterung'!$A$7:$A$2006,A169,'Fütterung'!$E$7:$E$2006,"Ja")))</f>
        <v/>
      </c>
      <c r="Z169" s="67">
        <f>IF(Y169="","",TODAY()-Y169)</f>
        <v/>
      </c>
      <c r="AA169" s="65">
        <f>IF(A169="","",IF(AND(F169="männlich",H169="Adult"),"Adultes Männchen",IF(AND(Z169&lt;&gt;"",N(Z169)&gt;=FutterGrenze),"Frisst nicht",IF(U169="","Zu wenig Daten",IF(V169&gt;U169*TpM*FaktorUeber,"Überfällig",IF(V169&gt;U169*TpM*FaktorBald,"Fällig","Im Plan"))))))</f>
        <v/>
      </c>
      <c r="AB169" s="69">
        <f>IF(AND(AC169=1,W169&lt;&gt;""),N(W169)+ROW()/100000,"")</f>
        <v/>
      </c>
      <c r="AC169" s="69">
        <f>IF(A169="","",IF(SUBTOTAL(103,A169)=1,1,0))</f>
        <v/>
      </c>
    </row>
    <row r="170" ht="20" customHeight="1">
      <c r="A170" s="60" t="n"/>
      <c r="B170" s="61" t="n"/>
      <c r="C170" s="61" t="n"/>
      <c r="D170" s="61" t="n"/>
      <c r="E170" s="60" t="n"/>
      <c r="F170" s="60" t="n"/>
      <c r="G170" s="60" t="n"/>
      <c r="H170" s="60" t="n"/>
      <c r="I170" s="62" t="n"/>
      <c r="J170" s="63" t="n"/>
      <c r="K170" s="61" t="n"/>
      <c r="L170" s="64" t="n"/>
      <c r="M170" s="60" t="n"/>
      <c r="N170" s="60" t="n"/>
      <c r="O170" s="60" t="n"/>
      <c r="P170" s="61" t="n"/>
      <c r="Q170" s="61" t="n"/>
      <c r="R170" s="65">
        <f>IF(A170="","",TRIM(C170&amp;" "&amp;D170))</f>
        <v/>
      </c>
      <c r="S170" s="66">
        <f>IF(A170="","",IF(COUNTIFS('Häutungen'!$A$7:$A$1006,A170,'Häutungen'!$C$7:$C$1006,"&gt;0")=0,"",_xlfn.MAXIFS('Häutungen'!$C$7:$C$1006,'Häutungen'!$A$7:$A$1006,A170)))</f>
        <v/>
      </c>
      <c r="T170" s="67">
        <f>IF(A170="","",COUNTIFS('Häutungen'!$A$7:$A$1006,A170,'Häutungen'!$C$7:$C$1006,"&gt;0"))</f>
        <v/>
      </c>
      <c r="U170" s="68">
        <f>IF(A170="","",IF(T170&lt;2,"",IFERROR(AVERAGEIFS('Häutungen'!$J$7:$J$1006,'Häutungen'!$A$7:$A$1006,A170,'Häutungen'!$K$7:$K$1006,"&lt;3",'Häutungen'!$I$7:$I$1006,"&gt;0"),"")))</f>
        <v/>
      </c>
      <c r="V170" s="67">
        <f>IF(S170="","",TODAY()-S170)</f>
        <v/>
      </c>
      <c r="W170" s="66">
        <f>IF(OR(U170="",AND(F170="männlich",H170="Adult")),"",S170+ROUND(U170*TpM,0))</f>
        <v/>
      </c>
      <c r="X170" s="68">
        <f>IF(A170="","",IF(S170="",IF(I170="","",I170),IF(SUMIFS('Häutungen'!$D$7:$D$1006,'Häutungen'!$A$7:$A$1006,A170,'Häutungen'!$C$7:$C$1006,S170)&gt;0,SUMIFS('Häutungen'!$D$7:$D$1006,'Häutungen'!$A$7:$A$1006,A170,'Häutungen'!$C$7:$C$1006,S170),IF(I170="","",I170))))</f>
        <v/>
      </c>
      <c r="Y170" s="66">
        <f>IF(A170="","",IF(COUNTIFS('Fütterung'!$A$7:$A$2006,A170,'Fütterung'!$E$7:$E$2006,"Ja")=0,"",_xlfn.MAXIFS('Fütterung'!$C$7:$C$2006,'Fütterung'!$A$7:$A$2006,A170,'Fütterung'!$E$7:$E$2006,"Ja")))</f>
        <v/>
      </c>
      <c r="Z170" s="67">
        <f>IF(Y170="","",TODAY()-Y170)</f>
        <v/>
      </c>
      <c r="AA170" s="65">
        <f>IF(A170="","",IF(AND(F170="männlich",H170="Adult"),"Adultes Männchen",IF(AND(Z170&lt;&gt;"",N(Z170)&gt;=FutterGrenze),"Frisst nicht",IF(U170="","Zu wenig Daten",IF(V170&gt;U170*TpM*FaktorUeber,"Überfällig",IF(V170&gt;U170*TpM*FaktorBald,"Fällig","Im Plan"))))))</f>
        <v/>
      </c>
      <c r="AB170" s="69">
        <f>IF(AND(AC170=1,W170&lt;&gt;""),N(W170)+ROW()/100000,"")</f>
        <v/>
      </c>
      <c r="AC170" s="69">
        <f>IF(A170="","",IF(SUBTOTAL(103,A170)=1,1,0))</f>
        <v/>
      </c>
    </row>
    <row r="171" ht="20" customHeight="1">
      <c r="A171" s="60" t="n"/>
      <c r="B171" s="61" t="n"/>
      <c r="C171" s="61" t="n"/>
      <c r="D171" s="61" t="n"/>
      <c r="E171" s="60" t="n"/>
      <c r="F171" s="60" t="n"/>
      <c r="G171" s="60" t="n"/>
      <c r="H171" s="60" t="n"/>
      <c r="I171" s="62" t="n"/>
      <c r="J171" s="63" t="n"/>
      <c r="K171" s="61" t="n"/>
      <c r="L171" s="64" t="n"/>
      <c r="M171" s="60" t="n"/>
      <c r="N171" s="60" t="n"/>
      <c r="O171" s="60" t="n"/>
      <c r="P171" s="61" t="n"/>
      <c r="Q171" s="61" t="n"/>
      <c r="R171" s="65">
        <f>IF(A171="","",TRIM(C171&amp;" "&amp;D171))</f>
        <v/>
      </c>
      <c r="S171" s="66">
        <f>IF(A171="","",IF(COUNTIFS('Häutungen'!$A$7:$A$1006,A171,'Häutungen'!$C$7:$C$1006,"&gt;0")=0,"",_xlfn.MAXIFS('Häutungen'!$C$7:$C$1006,'Häutungen'!$A$7:$A$1006,A171)))</f>
        <v/>
      </c>
      <c r="T171" s="67">
        <f>IF(A171="","",COUNTIFS('Häutungen'!$A$7:$A$1006,A171,'Häutungen'!$C$7:$C$1006,"&gt;0"))</f>
        <v/>
      </c>
      <c r="U171" s="68">
        <f>IF(A171="","",IF(T171&lt;2,"",IFERROR(AVERAGEIFS('Häutungen'!$J$7:$J$1006,'Häutungen'!$A$7:$A$1006,A171,'Häutungen'!$K$7:$K$1006,"&lt;3",'Häutungen'!$I$7:$I$1006,"&gt;0"),"")))</f>
        <v/>
      </c>
      <c r="V171" s="67">
        <f>IF(S171="","",TODAY()-S171)</f>
        <v/>
      </c>
      <c r="W171" s="66">
        <f>IF(OR(U171="",AND(F171="männlich",H171="Adult")),"",S171+ROUND(U171*TpM,0))</f>
        <v/>
      </c>
      <c r="X171" s="68">
        <f>IF(A171="","",IF(S171="",IF(I171="","",I171),IF(SUMIFS('Häutungen'!$D$7:$D$1006,'Häutungen'!$A$7:$A$1006,A171,'Häutungen'!$C$7:$C$1006,S171)&gt;0,SUMIFS('Häutungen'!$D$7:$D$1006,'Häutungen'!$A$7:$A$1006,A171,'Häutungen'!$C$7:$C$1006,S171),IF(I171="","",I171))))</f>
        <v/>
      </c>
      <c r="Y171" s="66">
        <f>IF(A171="","",IF(COUNTIFS('Fütterung'!$A$7:$A$2006,A171,'Fütterung'!$E$7:$E$2006,"Ja")=0,"",_xlfn.MAXIFS('Fütterung'!$C$7:$C$2006,'Fütterung'!$A$7:$A$2006,A171,'Fütterung'!$E$7:$E$2006,"Ja")))</f>
        <v/>
      </c>
      <c r="Z171" s="67">
        <f>IF(Y171="","",TODAY()-Y171)</f>
        <v/>
      </c>
      <c r="AA171" s="65">
        <f>IF(A171="","",IF(AND(F171="männlich",H171="Adult"),"Adultes Männchen",IF(AND(Z171&lt;&gt;"",N(Z171)&gt;=FutterGrenze),"Frisst nicht",IF(U171="","Zu wenig Daten",IF(V171&gt;U171*TpM*FaktorUeber,"Überfällig",IF(V171&gt;U171*TpM*FaktorBald,"Fällig","Im Plan"))))))</f>
        <v/>
      </c>
      <c r="AB171" s="69">
        <f>IF(AND(AC171=1,W171&lt;&gt;""),N(W171)+ROW()/100000,"")</f>
        <v/>
      </c>
      <c r="AC171" s="69">
        <f>IF(A171="","",IF(SUBTOTAL(103,A171)=1,1,0))</f>
        <v/>
      </c>
    </row>
    <row r="172" ht="20" customHeight="1">
      <c r="A172" s="60" t="n"/>
      <c r="B172" s="61" t="n"/>
      <c r="C172" s="61" t="n"/>
      <c r="D172" s="61" t="n"/>
      <c r="E172" s="60" t="n"/>
      <c r="F172" s="60" t="n"/>
      <c r="G172" s="60" t="n"/>
      <c r="H172" s="60" t="n"/>
      <c r="I172" s="62" t="n"/>
      <c r="J172" s="63" t="n"/>
      <c r="K172" s="61" t="n"/>
      <c r="L172" s="64" t="n"/>
      <c r="M172" s="60" t="n"/>
      <c r="N172" s="60" t="n"/>
      <c r="O172" s="60" t="n"/>
      <c r="P172" s="61" t="n"/>
      <c r="Q172" s="61" t="n"/>
      <c r="R172" s="65">
        <f>IF(A172="","",TRIM(C172&amp;" "&amp;D172))</f>
        <v/>
      </c>
      <c r="S172" s="66">
        <f>IF(A172="","",IF(COUNTIFS('Häutungen'!$A$7:$A$1006,A172,'Häutungen'!$C$7:$C$1006,"&gt;0")=0,"",_xlfn.MAXIFS('Häutungen'!$C$7:$C$1006,'Häutungen'!$A$7:$A$1006,A172)))</f>
        <v/>
      </c>
      <c r="T172" s="67">
        <f>IF(A172="","",COUNTIFS('Häutungen'!$A$7:$A$1006,A172,'Häutungen'!$C$7:$C$1006,"&gt;0"))</f>
        <v/>
      </c>
      <c r="U172" s="68">
        <f>IF(A172="","",IF(T172&lt;2,"",IFERROR(AVERAGEIFS('Häutungen'!$J$7:$J$1006,'Häutungen'!$A$7:$A$1006,A172,'Häutungen'!$K$7:$K$1006,"&lt;3",'Häutungen'!$I$7:$I$1006,"&gt;0"),"")))</f>
        <v/>
      </c>
      <c r="V172" s="67">
        <f>IF(S172="","",TODAY()-S172)</f>
        <v/>
      </c>
      <c r="W172" s="66">
        <f>IF(OR(U172="",AND(F172="männlich",H172="Adult")),"",S172+ROUND(U172*TpM,0))</f>
        <v/>
      </c>
      <c r="X172" s="68">
        <f>IF(A172="","",IF(S172="",IF(I172="","",I172),IF(SUMIFS('Häutungen'!$D$7:$D$1006,'Häutungen'!$A$7:$A$1006,A172,'Häutungen'!$C$7:$C$1006,S172)&gt;0,SUMIFS('Häutungen'!$D$7:$D$1006,'Häutungen'!$A$7:$A$1006,A172,'Häutungen'!$C$7:$C$1006,S172),IF(I172="","",I172))))</f>
        <v/>
      </c>
      <c r="Y172" s="66">
        <f>IF(A172="","",IF(COUNTIFS('Fütterung'!$A$7:$A$2006,A172,'Fütterung'!$E$7:$E$2006,"Ja")=0,"",_xlfn.MAXIFS('Fütterung'!$C$7:$C$2006,'Fütterung'!$A$7:$A$2006,A172,'Fütterung'!$E$7:$E$2006,"Ja")))</f>
        <v/>
      </c>
      <c r="Z172" s="67">
        <f>IF(Y172="","",TODAY()-Y172)</f>
        <v/>
      </c>
      <c r="AA172" s="65">
        <f>IF(A172="","",IF(AND(F172="männlich",H172="Adult"),"Adultes Männchen",IF(AND(Z172&lt;&gt;"",N(Z172)&gt;=FutterGrenze),"Frisst nicht",IF(U172="","Zu wenig Daten",IF(V172&gt;U172*TpM*FaktorUeber,"Überfällig",IF(V172&gt;U172*TpM*FaktorBald,"Fällig","Im Plan"))))))</f>
        <v/>
      </c>
      <c r="AB172" s="69">
        <f>IF(AND(AC172=1,W172&lt;&gt;""),N(W172)+ROW()/100000,"")</f>
        <v/>
      </c>
      <c r="AC172" s="69">
        <f>IF(A172="","",IF(SUBTOTAL(103,A172)=1,1,0))</f>
        <v/>
      </c>
    </row>
    <row r="173" ht="20" customHeight="1">
      <c r="A173" s="60" t="n"/>
      <c r="B173" s="61" t="n"/>
      <c r="C173" s="61" t="n"/>
      <c r="D173" s="61" t="n"/>
      <c r="E173" s="60" t="n"/>
      <c r="F173" s="60" t="n"/>
      <c r="G173" s="60" t="n"/>
      <c r="H173" s="60" t="n"/>
      <c r="I173" s="62" t="n"/>
      <c r="J173" s="63" t="n"/>
      <c r="K173" s="61" t="n"/>
      <c r="L173" s="64" t="n"/>
      <c r="M173" s="60" t="n"/>
      <c r="N173" s="60" t="n"/>
      <c r="O173" s="60" t="n"/>
      <c r="P173" s="61" t="n"/>
      <c r="Q173" s="61" t="n"/>
      <c r="R173" s="65">
        <f>IF(A173="","",TRIM(C173&amp;" "&amp;D173))</f>
        <v/>
      </c>
      <c r="S173" s="66">
        <f>IF(A173="","",IF(COUNTIFS('Häutungen'!$A$7:$A$1006,A173,'Häutungen'!$C$7:$C$1006,"&gt;0")=0,"",_xlfn.MAXIFS('Häutungen'!$C$7:$C$1006,'Häutungen'!$A$7:$A$1006,A173)))</f>
        <v/>
      </c>
      <c r="T173" s="67">
        <f>IF(A173="","",COUNTIFS('Häutungen'!$A$7:$A$1006,A173,'Häutungen'!$C$7:$C$1006,"&gt;0"))</f>
        <v/>
      </c>
      <c r="U173" s="68">
        <f>IF(A173="","",IF(T173&lt;2,"",IFERROR(AVERAGEIFS('Häutungen'!$J$7:$J$1006,'Häutungen'!$A$7:$A$1006,A173,'Häutungen'!$K$7:$K$1006,"&lt;3",'Häutungen'!$I$7:$I$1006,"&gt;0"),"")))</f>
        <v/>
      </c>
      <c r="V173" s="67">
        <f>IF(S173="","",TODAY()-S173)</f>
        <v/>
      </c>
      <c r="W173" s="66">
        <f>IF(OR(U173="",AND(F173="männlich",H173="Adult")),"",S173+ROUND(U173*TpM,0))</f>
        <v/>
      </c>
      <c r="X173" s="68">
        <f>IF(A173="","",IF(S173="",IF(I173="","",I173),IF(SUMIFS('Häutungen'!$D$7:$D$1006,'Häutungen'!$A$7:$A$1006,A173,'Häutungen'!$C$7:$C$1006,S173)&gt;0,SUMIFS('Häutungen'!$D$7:$D$1006,'Häutungen'!$A$7:$A$1006,A173,'Häutungen'!$C$7:$C$1006,S173),IF(I173="","",I173))))</f>
        <v/>
      </c>
      <c r="Y173" s="66">
        <f>IF(A173="","",IF(COUNTIFS('Fütterung'!$A$7:$A$2006,A173,'Fütterung'!$E$7:$E$2006,"Ja")=0,"",_xlfn.MAXIFS('Fütterung'!$C$7:$C$2006,'Fütterung'!$A$7:$A$2006,A173,'Fütterung'!$E$7:$E$2006,"Ja")))</f>
        <v/>
      </c>
      <c r="Z173" s="67">
        <f>IF(Y173="","",TODAY()-Y173)</f>
        <v/>
      </c>
      <c r="AA173" s="65">
        <f>IF(A173="","",IF(AND(F173="männlich",H173="Adult"),"Adultes Männchen",IF(AND(Z173&lt;&gt;"",N(Z173)&gt;=FutterGrenze),"Frisst nicht",IF(U173="","Zu wenig Daten",IF(V173&gt;U173*TpM*FaktorUeber,"Überfällig",IF(V173&gt;U173*TpM*FaktorBald,"Fällig","Im Plan"))))))</f>
        <v/>
      </c>
      <c r="AB173" s="69">
        <f>IF(AND(AC173=1,W173&lt;&gt;""),N(W173)+ROW()/100000,"")</f>
        <v/>
      </c>
      <c r="AC173" s="69">
        <f>IF(A173="","",IF(SUBTOTAL(103,A173)=1,1,0))</f>
        <v/>
      </c>
    </row>
    <row r="174" ht="20" customHeight="1">
      <c r="A174" s="60" t="n"/>
      <c r="B174" s="61" t="n"/>
      <c r="C174" s="61" t="n"/>
      <c r="D174" s="61" t="n"/>
      <c r="E174" s="60" t="n"/>
      <c r="F174" s="60" t="n"/>
      <c r="G174" s="60" t="n"/>
      <c r="H174" s="60" t="n"/>
      <c r="I174" s="62" t="n"/>
      <c r="J174" s="63" t="n"/>
      <c r="K174" s="61" t="n"/>
      <c r="L174" s="64" t="n"/>
      <c r="M174" s="60" t="n"/>
      <c r="N174" s="60" t="n"/>
      <c r="O174" s="60" t="n"/>
      <c r="P174" s="61" t="n"/>
      <c r="Q174" s="61" t="n"/>
      <c r="R174" s="65">
        <f>IF(A174="","",TRIM(C174&amp;" "&amp;D174))</f>
        <v/>
      </c>
      <c r="S174" s="66">
        <f>IF(A174="","",IF(COUNTIFS('Häutungen'!$A$7:$A$1006,A174,'Häutungen'!$C$7:$C$1006,"&gt;0")=0,"",_xlfn.MAXIFS('Häutungen'!$C$7:$C$1006,'Häutungen'!$A$7:$A$1006,A174)))</f>
        <v/>
      </c>
      <c r="T174" s="67">
        <f>IF(A174="","",COUNTIFS('Häutungen'!$A$7:$A$1006,A174,'Häutungen'!$C$7:$C$1006,"&gt;0"))</f>
        <v/>
      </c>
      <c r="U174" s="68">
        <f>IF(A174="","",IF(T174&lt;2,"",IFERROR(AVERAGEIFS('Häutungen'!$J$7:$J$1006,'Häutungen'!$A$7:$A$1006,A174,'Häutungen'!$K$7:$K$1006,"&lt;3",'Häutungen'!$I$7:$I$1006,"&gt;0"),"")))</f>
        <v/>
      </c>
      <c r="V174" s="67">
        <f>IF(S174="","",TODAY()-S174)</f>
        <v/>
      </c>
      <c r="W174" s="66">
        <f>IF(OR(U174="",AND(F174="männlich",H174="Adult")),"",S174+ROUND(U174*TpM,0))</f>
        <v/>
      </c>
      <c r="X174" s="68">
        <f>IF(A174="","",IF(S174="",IF(I174="","",I174),IF(SUMIFS('Häutungen'!$D$7:$D$1006,'Häutungen'!$A$7:$A$1006,A174,'Häutungen'!$C$7:$C$1006,S174)&gt;0,SUMIFS('Häutungen'!$D$7:$D$1006,'Häutungen'!$A$7:$A$1006,A174,'Häutungen'!$C$7:$C$1006,S174),IF(I174="","",I174))))</f>
        <v/>
      </c>
      <c r="Y174" s="66">
        <f>IF(A174="","",IF(COUNTIFS('Fütterung'!$A$7:$A$2006,A174,'Fütterung'!$E$7:$E$2006,"Ja")=0,"",_xlfn.MAXIFS('Fütterung'!$C$7:$C$2006,'Fütterung'!$A$7:$A$2006,A174,'Fütterung'!$E$7:$E$2006,"Ja")))</f>
        <v/>
      </c>
      <c r="Z174" s="67">
        <f>IF(Y174="","",TODAY()-Y174)</f>
        <v/>
      </c>
      <c r="AA174" s="65">
        <f>IF(A174="","",IF(AND(F174="männlich",H174="Adult"),"Adultes Männchen",IF(AND(Z174&lt;&gt;"",N(Z174)&gt;=FutterGrenze),"Frisst nicht",IF(U174="","Zu wenig Daten",IF(V174&gt;U174*TpM*FaktorUeber,"Überfällig",IF(V174&gt;U174*TpM*FaktorBald,"Fällig","Im Plan"))))))</f>
        <v/>
      </c>
      <c r="AB174" s="69">
        <f>IF(AND(AC174=1,W174&lt;&gt;""),N(W174)+ROW()/100000,"")</f>
        <v/>
      </c>
      <c r="AC174" s="69">
        <f>IF(A174="","",IF(SUBTOTAL(103,A174)=1,1,0))</f>
        <v/>
      </c>
    </row>
    <row r="175" ht="20" customHeight="1">
      <c r="A175" s="60" t="n"/>
      <c r="B175" s="61" t="n"/>
      <c r="C175" s="61" t="n"/>
      <c r="D175" s="61" t="n"/>
      <c r="E175" s="60" t="n"/>
      <c r="F175" s="60" t="n"/>
      <c r="G175" s="60" t="n"/>
      <c r="H175" s="60" t="n"/>
      <c r="I175" s="62" t="n"/>
      <c r="J175" s="63" t="n"/>
      <c r="K175" s="61" t="n"/>
      <c r="L175" s="64" t="n"/>
      <c r="M175" s="60" t="n"/>
      <c r="N175" s="60" t="n"/>
      <c r="O175" s="60" t="n"/>
      <c r="P175" s="61" t="n"/>
      <c r="Q175" s="61" t="n"/>
      <c r="R175" s="65">
        <f>IF(A175="","",TRIM(C175&amp;" "&amp;D175))</f>
        <v/>
      </c>
      <c r="S175" s="66">
        <f>IF(A175="","",IF(COUNTIFS('Häutungen'!$A$7:$A$1006,A175,'Häutungen'!$C$7:$C$1006,"&gt;0")=0,"",_xlfn.MAXIFS('Häutungen'!$C$7:$C$1006,'Häutungen'!$A$7:$A$1006,A175)))</f>
        <v/>
      </c>
      <c r="T175" s="67">
        <f>IF(A175="","",COUNTIFS('Häutungen'!$A$7:$A$1006,A175,'Häutungen'!$C$7:$C$1006,"&gt;0"))</f>
        <v/>
      </c>
      <c r="U175" s="68">
        <f>IF(A175="","",IF(T175&lt;2,"",IFERROR(AVERAGEIFS('Häutungen'!$J$7:$J$1006,'Häutungen'!$A$7:$A$1006,A175,'Häutungen'!$K$7:$K$1006,"&lt;3",'Häutungen'!$I$7:$I$1006,"&gt;0"),"")))</f>
        <v/>
      </c>
      <c r="V175" s="67">
        <f>IF(S175="","",TODAY()-S175)</f>
        <v/>
      </c>
      <c r="W175" s="66">
        <f>IF(OR(U175="",AND(F175="männlich",H175="Adult")),"",S175+ROUND(U175*TpM,0))</f>
        <v/>
      </c>
      <c r="X175" s="68">
        <f>IF(A175="","",IF(S175="",IF(I175="","",I175),IF(SUMIFS('Häutungen'!$D$7:$D$1006,'Häutungen'!$A$7:$A$1006,A175,'Häutungen'!$C$7:$C$1006,S175)&gt;0,SUMIFS('Häutungen'!$D$7:$D$1006,'Häutungen'!$A$7:$A$1006,A175,'Häutungen'!$C$7:$C$1006,S175),IF(I175="","",I175))))</f>
        <v/>
      </c>
      <c r="Y175" s="66">
        <f>IF(A175="","",IF(COUNTIFS('Fütterung'!$A$7:$A$2006,A175,'Fütterung'!$E$7:$E$2006,"Ja")=0,"",_xlfn.MAXIFS('Fütterung'!$C$7:$C$2006,'Fütterung'!$A$7:$A$2006,A175,'Fütterung'!$E$7:$E$2006,"Ja")))</f>
        <v/>
      </c>
      <c r="Z175" s="67">
        <f>IF(Y175="","",TODAY()-Y175)</f>
        <v/>
      </c>
      <c r="AA175" s="65">
        <f>IF(A175="","",IF(AND(F175="männlich",H175="Adult"),"Adultes Männchen",IF(AND(Z175&lt;&gt;"",N(Z175)&gt;=FutterGrenze),"Frisst nicht",IF(U175="","Zu wenig Daten",IF(V175&gt;U175*TpM*FaktorUeber,"Überfällig",IF(V175&gt;U175*TpM*FaktorBald,"Fällig","Im Plan"))))))</f>
        <v/>
      </c>
      <c r="AB175" s="69">
        <f>IF(AND(AC175=1,W175&lt;&gt;""),N(W175)+ROW()/100000,"")</f>
        <v/>
      </c>
      <c r="AC175" s="69">
        <f>IF(A175="","",IF(SUBTOTAL(103,A175)=1,1,0))</f>
        <v/>
      </c>
    </row>
    <row r="176" ht="20" customHeight="1">
      <c r="A176" s="60" t="n"/>
      <c r="B176" s="61" t="n"/>
      <c r="C176" s="61" t="n"/>
      <c r="D176" s="61" t="n"/>
      <c r="E176" s="60" t="n"/>
      <c r="F176" s="60" t="n"/>
      <c r="G176" s="60" t="n"/>
      <c r="H176" s="60" t="n"/>
      <c r="I176" s="62" t="n"/>
      <c r="J176" s="63" t="n"/>
      <c r="K176" s="61" t="n"/>
      <c r="L176" s="64" t="n"/>
      <c r="M176" s="60" t="n"/>
      <c r="N176" s="60" t="n"/>
      <c r="O176" s="60" t="n"/>
      <c r="P176" s="61" t="n"/>
      <c r="Q176" s="61" t="n"/>
      <c r="R176" s="65">
        <f>IF(A176="","",TRIM(C176&amp;" "&amp;D176))</f>
        <v/>
      </c>
      <c r="S176" s="66">
        <f>IF(A176="","",IF(COUNTIFS('Häutungen'!$A$7:$A$1006,A176,'Häutungen'!$C$7:$C$1006,"&gt;0")=0,"",_xlfn.MAXIFS('Häutungen'!$C$7:$C$1006,'Häutungen'!$A$7:$A$1006,A176)))</f>
        <v/>
      </c>
      <c r="T176" s="67">
        <f>IF(A176="","",COUNTIFS('Häutungen'!$A$7:$A$1006,A176,'Häutungen'!$C$7:$C$1006,"&gt;0"))</f>
        <v/>
      </c>
      <c r="U176" s="68">
        <f>IF(A176="","",IF(T176&lt;2,"",IFERROR(AVERAGEIFS('Häutungen'!$J$7:$J$1006,'Häutungen'!$A$7:$A$1006,A176,'Häutungen'!$K$7:$K$1006,"&lt;3",'Häutungen'!$I$7:$I$1006,"&gt;0"),"")))</f>
        <v/>
      </c>
      <c r="V176" s="67">
        <f>IF(S176="","",TODAY()-S176)</f>
        <v/>
      </c>
      <c r="W176" s="66">
        <f>IF(OR(U176="",AND(F176="männlich",H176="Adult")),"",S176+ROUND(U176*TpM,0))</f>
        <v/>
      </c>
      <c r="X176" s="68">
        <f>IF(A176="","",IF(S176="",IF(I176="","",I176),IF(SUMIFS('Häutungen'!$D$7:$D$1006,'Häutungen'!$A$7:$A$1006,A176,'Häutungen'!$C$7:$C$1006,S176)&gt;0,SUMIFS('Häutungen'!$D$7:$D$1006,'Häutungen'!$A$7:$A$1006,A176,'Häutungen'!$C$7:$C$1006,S176),IF(I176="","",I176))))</f>
        <v/>
      </c>
      <c r="Y176" s="66">
        <f>IF(A176="","",IF(COUNTIFS('Fütterung'!$A$7:$A$2006,A176,'Fütterung'!$E$7:$E$2006,"Ja")=0,"",_xlfn.MAXIFS('Fütterung'!$C$7:$C$2006,'Fütterung'!$A$7:$A$2006,A176,'Fütterung'!$E$7:$E$2006,"Ja")))</f>
        <v/>
      </c>
      <c r="Z176" s="67">
        <f>IF(Y176="","",TODAY()-Y176)</f>
        <v/>
      </c>
      <c r="AA176" s="65">
        <f>IF(A176="","",IF(AND(F176="männlich",H176="Adult"),"Adultes Männchen",IF(AND(Z176&lt;&gt;"",N(Z176)&gt;=FutterGrenze),"Frisst nicht",IF(U176="","Zu wenig Daten",IF(V176&gt;U176*TpM*FaktorUeber,"Überfällig",IF(V176&gt;U176*TpM*FaktorBald,"Fällig","Im Plan"))))))</f>
        <v/>
      </c>
      <c r="AB176" s="69">
        <f>IF(AND(AC176=1,W176&lt;&gt;""),N(W176)+ROW()/100000,"")</f>
        <v/>
      </c>
      <c r="AC176" s="69">
        <f>IF(A176="","",IF(SUBTOTAL(103,A176)=1,1,0))</f>
        <v/>
      </c>
    </row>
    <row r="177" ht="20" customHeight="1">
      <c r="A177" s="60" t="n"/>
      <c r="B177" s="61" t="n"/>
      <c r="C177" s="61" t="n"/>
      <c r="D177" s="61" t="n"/>
      <c r="E177" s="60" t="n"/>
      <c r="F177" s="60" t="n"/>
      <c r="G177" s="60" t="n"/>
      <c r="H177" s="60" t="n"/>
      <c r="I177" s="62" t="n"/>
      <c r="J177" s="63" t="n"/>
      <c r="K177" s="61" t="n"/>
      <c r="L177" s="64" t="n"/>
      <c r="M177" s="60" t="n"/>
      <c r="N177" s="60" t="n"/>
      <c r="O177" s="60" t="n"/>
      <c r="P177" s="61" t="n"/>
      <c r="Q177" s="61" t="n"/>
      <c r="R177" s="65">
        <f>IF(A177="","",TRIM(C177&amp;" "&amp;D177))</f>
        <v/>
      </c>
      <c r="S177" s="66">
        <f>IF(A177="","",IF(COUNTIFS('Häutungen'!$A$7:$A$1006,A177,'Häutungen'!$C$7:$C$1006,"&gt;0")=0,"",_xlfn.MAXIFS('Häutungen'!$C$7:$C$1006,'Häutungen'!$A$7:$A$1006,A177)))</f>
        <v/>
      </c>
      <c r="T177" s="67">
        <f>IF(A177="","",COUNTIFS('Häutungen'!$A$7:$A$1006,A177,'Häutungen'!$C$7:$C$1006,"&gt;0"))</f>
        <v/>
      </c>
      <c r="U177" s="68">
        <f>IF(A177="","",IF(T177&lt;2,"",IFERROR(AVERAGEIFS('Häutungen'!$J$7:$J$1006,'Häutungen'!$A$7:$A$1006,A177,'Häutungen'!$K$7:$K$1006,"&lt;3",'Häutungen'!$I$7:$I$1006,"&gt;0"),"")))</f>
        <v/>
      </c>
      <c r="V177" s="67">
        <f>IF(S177="","",TODAY()-S177)</f>
        <v/>
      </c>
      <c r="W177" s="66">
        <f>IF(OR(U177="",AND(F177="männlich",H177="Adult")),"",S177+ROUND(U177*TpM,0))</f>
        <v/>
      </c>
      <c r="X177" s="68">
        <f>IF(A177="","",IF(S177="",IF(I177="","",I177),IF(SUMIFS('Häutungen'!$D$7:$D$1006,'Häutungen'!$A$7:$A$1006,A177,'Häutungen'!$C$7:$C$1006,S177)&gt;0,SUMIFS('Häutungen'!$D$7:$D$1006,'Häutungen'!$A$7:$A$1006,A177,'Häutungen'!$C$7:$C$1006,S177),IF(I177="","",I177))))</f>
        <v/>
      </c>
      <c r="Y177" s="66">
        <f>IF(A177="","",IF(COUNTIFS('Fütterung'!$A$7:$A$2006,A177,'Fütterung'!$E$7:$E$2006,"Ja")=0,"",_xlfn.MAXIFS('Fütterung'!$C$7:$C$2006,'Fütterung'!$A$7:$A$2006,A177,'Fütterung'!$E$7:$E$2006,"Ja")))</f>
        <v/>
      </c>
      <c r="Z177" s="67">
        <f>IF(Y177="","",TODAY()-Y177)</f>
        <v/>
      </c>
      <c r="AA177" s="65">
        <f>IF(A177="","",IF(AND(F177="männlich",H177="Adult"),"Adultes Männchen",IF(AND(Z177&lt;&gt;"",N(Z177)&gt;=FutterGrenze),"Frisst nicht",IF(U177="","Zu wenig Daten",IF(V177&gt;U177*TpM*FaktorUeber,"Überfällig",IF(V177&gt;U177*TpM*FaktorBald,"Fällig","Im Plan"))))))</f>
        <v/>
      </c>
      <c r="AB177" s="69">
        <f>IF(AND(AC177=1,W177&lt;&gt;""),N(W177)+ROW()/100000,"")</f>
        <v/>
      </c>
      <c r="AC177" s="69">
        <f>IF(A177="","",IF(SUBTOTAL(103,A177)=1,1,0))</f>
        <v/>
      </c>
    </row>
    <row r="178" ht="20" customHeight="1">
      <c r="A178" s="60" t="n"/>
      <c r="B178" s="61" t="n"/>
      <c r="C178" s="61" t="n"/>
      <c r="D178" s="61" t="n"/>
      <c r="E178" s="60" t="n"/>
      <c r="F178" s="60" t="n"/>
      <c r="G178" s="60" t="n"/>
      <c r="H178" s="60" t="n"/>
      <c r="I178" s="62" t="n"/>
      <c r="J178" s="63" t="n"/>
      <c r="K178" s="61" t="n"/>
      <c r="L178" s="64" t="n"/>
      <c r="M178" s="60" t="n"/>
      <c r="N178" s="60" t="n"/>
      <c r="O178" s="60" t="n"/>
      <c r="P178" s="61" t="n"/>
      <c r="Q178" s="61" t="n"/>
      <c r="R178" s="65">
        <f>IF(A178="","",TRIM(C178&amp;" "&amp;D178))</f>
        <v/>
      </c>
      <c r="S178" s="66">
        <f>IF(A178="","",IF(COUNTIFS('Häutungen'!$A$7:$A$1006,A178,'Häutungen'!$C$7:$C$1006,"&gt;0")=0,"",_xlfn.MAXIFS('Häutungen'!$C$7:$C$1006,'Häutungen'!$A$7:$A$1006,A178)))</f>
        <v/>
      </c>
      <c r="T178" s="67">
        <f>IF(A178="","",COUNTIFS('Häutungen'!$A$7:$A$1006,A178,'Häutungen'!$C$7:$C$1006,"&gt;0"))</f>
        <v/>
      </c>
      <c r="U178" s="68">
        <f>IF(A178="","",IF(T178&lt;2,"",IFERROR(AVERAGEIFS('Häutungen'!$J$7:$J$1006,'Häutungen'!$A$7:$A$1006,A178,'Häutungen'!$K$7:$K$1006,"&lt;3",'Häutungen'!$I$7:$I$1006,"&gt;0"),"")))</f>
        <v/>
      </c>
      <c r="V178" s="67">
        <f>IF(S178="","",TODAY()-S178)</f>
        <v/>
      </c>
      <c r="W178" s="66">
        <f>IF(OR(U178="",AND(F178="männlich",H178="Adult")),"",S178+ROUND(U178*TpM,0))</f>
        <v/>
      </c>
      <c r="X178" s="68">
        <f>IF(A178="","",IF(S178="",IF(I178="","",I178),IF(SUMIFS('Häutungen'!$D$7:$D$1006,'Häutungen'!$A$7:$A$1006,A178,'Häutungen'!$C$7:$C$1006,S178)&gt;0,SUMIFS('Häutungen'!$D$7:$D$1006,'Häutungen'!$A$7:$A$1006,A178,'Häutungen'!$C$7:$C$1006,S178),IF(I178="","",I178))))</f>
        <v/>
      </c>
      <c r="Y178" s="66">
        <f>IF(A178="","",IF(COUNTIFS('Fütterung'!$A$7:$A$2006,A178,'Fütterung'!$E$7:$E$2006,"Ja")=0,"",_xlfn.MAXIFS('Fütterung'!$C$7:$C$2006,'Fütterung'!$A$7:$A$2006,A178,'Fütterung'!$E$7:$E$2006,"Ja")))</f>
        <v/>
      </c>
      <c r="Z178" s="67">
        <f>IF(Y178="","",TODAY()-Y178)</f>
        <v/>
      </c>
      <c r="AA178" s="65">
        <f>IF(A178="","",IF(AND(F178="männlich",H178="Adult"),"Adultes Männchen",IF(AND(Z178&lt;&gt;"",N(Z178)&gt;=FutterGrenze),"Frisst nicht",IF(U178="","Zu wenig Daten",IF(V178&gt;U178*TpM*FaktorUeber,"Überfällig",IF(V178&gt;U178*TpM*FaktorBald,"Fällig","Im Plan"))))))</f>
        <v/>
      </c>
      <c r="AB178" s="69">
        <f>IF(AND(AC178=1,W178&lt;&gt;""),N(W178)+ROW()/100000,"")</f>
        <v/>
      </c>
      <c r="AC178" s="69">
        <f>IF(A178="","",IF(SUBTOTAL(103,A178)=1,1,0))</f>
        <v/>
      </c>
    </row>
    <row r="179" ht="20" customHeight="1">
      <c r="A179" s="60" t="n"/>
      <c r="B179" s="61" t="n"/>
      <c r="C179" s="61" t="n"/>
      <c r="D179" s="61" t="n"/>
      <c r="E179" s="60" t="n"/>
      <c r="F179" s="60" t="n"/>
      <c r="G179" s="60" t="n"/>
      <c r="H179" s="60" t="n"/>
      <c r="I179" s="62" t="n"/>
      <c r="J179" s="63" t="n"/>
      <c r="K179" s="61" t="n"/>
      <c r="L179" s="64" t="n"/>
      <c r="M179" s="60" t="n"/>
      <c r="N179" s="60" t="n"/>
      <c r="O179" s="60" t="n"/>
      <c r="P179" s="61" t="n"/>
      <c r="Q179" s="61" t="n"/>
      <c r="R179" s="65">
        <f>IF(A179="","",TRIM(C179&amp;" "&amp;D179))</f>
        <v/>
      </c>
      <c r="S179" s="66">
        <f>IF(A179="","",IF(COUNTIFS('Häutungen'!$A$7:$A$1006,A179,'Häutungen'!$C$7:$C$1006,"&gt;0")=0,"",_xlfn.MAXIFS('Häutungen'!$C$7:$C$1006,'Häutungen'!$A$7:$A$1006,A179)))</f>
        <v/>
      </c>
      <c r="T179" s="67">
        <f>IF(A179="","",COUNTIFS('Häutungen'!$A$7:$A$1006,A179,'Häutungen'!$C$7:$C$1006,"&gt;0"))</f>
        <v/>
      </c>
      <c r="U179" s="68">
        <f>IF(A179="","",IF(T179&lt;2,"",IFERROR(AVERAGEIFS('Häutungen'!$J$7:$J$1006,'Häutungen'!$A$7:$A$1006,A179,'Häutungen'!$K$7:$K$1006,"&lt;3",'Häutungen'!$I$7:$I$1006,"&gt;0"),"")))</f>
        <v/>
      </c>
      <c r="V179" s="67">
        <f>IF(S179="","",TODAY()-S179)</f>
        <v/>
      </c>
      <c r="W179" s="66">
        <f>IF(OR(U179="",AND(F179="männlich",H179="Adult")),"",S179+ROUND(U179*TpM,0))</f>
        <v/>
      </c>
      <c r="X179" s="68">
        <f>IF(A179="","",IF(S179="",IF(I179="","",I179),IF(SUMIFS('Häutungen'!$D$7:$D$1006,'Häutungen'!$A$7:$A$1006,A179,'Häutungen'!$C$7:$C$1006,S179)&gt;0,SUMIFS('Häutungen'!$D$7:$D$1006,'Häutungen'!$A$7:$A$1006,A179,'Häutungen'!$C$7:$C$1006,S179),IF(I179="","",I179))))</f>
        <v/>
      </c>
      <c r="Y179" s="66">
        <f>IF(A179="","",IF(COUNTIFS('Fütterung'!$A$7:$A$2006,A179,'Fütterung'!$E$7:$E$2006,"Ja")=0,"",_xlfn.MAXIFS('Fütterung'!$C$7:$C$2006,'Fütterung'!$A$7:$A$2006,A179,'Fütterung'!$E$7:$E$2006,"Ja")))</f>
        <v/>
      </c>
      <c r="Z179" s="67">
        <f>IF(Y179="","",TODAY()-Y179)</f>
        <v/>
      </c>
      <c r="AA179" s="65">
        <f>IF(A179="","",IF(AND(F179="männlich",H179="Adult"),"Adultes Männchen",IF(AND(Z179&lt;&gt;"",N(Z179)&gt;=FutterGrenze),"Frisst nicht",IF(U179="","Zu wenig Daten",IF(V179&gt;U179*TpM*FaktorUeber,"Überfällig",IF(V179&gt;U179*TpM*FaktorBald,"Fällig","Im Plan"))))))</f>
        <v/>
      </c>
      <c r="AB179" s="69">
        <f>IF(AND(AC179=1,W179&lt;&gt;""),N(W179)+ROW()/100000,"")</f>
        <v/>
      </c>
      <c r="AC179" s="69">
        <f>IF(A179="","",IF(SUBTOTAL(103,A179)=1,1,0))</f>
        <v/>
      </c>
    </row>
    <row r="180" ht="20" customHeight="1">
      <c r="A180" s="60" t="n"/>
      <c r="B180" s="61" t="n"/>
      <c r="C180" s="61" t="n"/>
      <c r="D180" s="61" t="n"/>
      <c r="E180" s="60" t="n"/>
      <c r="F180" s="60" t="n"/>
      <c r="G180" s="60" t="n"/>
      <c r="H180" s="60" t="n"/>
      <c r="I180" s="62" t="n"/>
      <c r="J180" s="63" t="n"/>
      <c r="K180" s="61" t="n"/>
      <c r="L180" s="64" t="n"/>
      <c r="M180" s="60" t="n"/>
      <c r="N180" s="60" t="n"/>
      <c r="O180" s="60" t="n"/>
      <c r="P180" s="61" t="n"/>
      <c r="Q180" s="61" t="n"/>
      <c r="R180" s="65">
        <f>IF(A180="","",TRIM(C180&amp;" "&amp;D180))</f>
        <v/>
      </c>
      <c r="S180" s="66">
        <f>IF(A180="","",IF(COUNTIFS('Häutungen'!$A$7:$A$1006,A180,'Häutungen'!$C$7:$C$1006,"&gt;0")=0,"",_xlfn.MAXIFS('Häutungen'!$C$7:$C$1006,'Häutungen'!$A$7:$A$1006,A180)))</f>
        <v/>
      </c>
      <c r="T180" s="67">
        <f>IF(A180="","",COUNTIFS('Häutungen'!$A$7:$A$1006,A180,'Häutungen'!$C$7:$C$1006,"&gt;0"))</f>
        <v/>
      </c>
      <c r="U180" s="68">
        <f>IF(A180="","",IF(T180&lt;2,"",IFERROR(AVERAGEIFS('Häutungen'!$J$7:$J$1006,'Häutungen'!$A$7:$A$1006,A180,'Häutungen'!$K$7:$K$1006,"&lt;3",'Häutungen'!$I$7:$I$1006,"&gt;0"),"")))</f>
        <v/>
      </c>
      <c r="V180" s="67">
        <f>IF(S180="","",TODAY()-S180)</f>
        <v/>
      </c>
      <c r="W180" s="66">
        <f>IF(OR(U180="",AND(F180="männlich",H180="Adult")),"",S180+ROUND(U180*TpM,0))</f>
        <v/>
      </c>
      <c r="X180" s="68">
        <f>IF(A180="","",IF(S180="",IF(I180="","",I180),IF(SUMIFS('Häutungen'!$D$7:$D$1006,'Häutungen'!$A$7:$A$1006,A180,'Häutungen'!$C$7:$C$1006,S180)&gt;0,SUMIFS('Häutungen'!$D$7:$D$1006,'Häutungen'!$A$7:$A$1006,A180,'Häutungen'!$C$7:$C$1006,S180),IF(I180="","",I180))))</f>
        <v/>
      </c>
      <c r="Y180" s="66">
        <f>IF(A180="","",IF(COUNTIFS('Fütterung'!$A$7:$A$2006,A180,'Fütterung'!$E$7:$E$2006,"Ja")=0,"",_xlfn.MAXIFS('Fütterung'!$C$7:$C$2006,'Fütterung'!$A$7:$A$2006,A180,'Fütterung'!$E$7:$E$2006,"Ja")))</f>
        <v/>
      </c>
      <c r="Z180" s="67">
        <f>IF(Y180="","",TODAY()-Y180)</f>
        <v/>
      </c>
      <c r="AA180" s="65">
        <f>IF(A180="","",IF(AND(F180="männlich",H180="Adult"),"Adultes Männchen",IF(AND(Z180&lt;&gt;"",N(Z180)&gt;=FutterGrenze),"Frisst nicht",IF(U180="","Zu wenig Daten",IF(V180&gt;U180*TpM*FaktorUeber,"Überfällig",IF(V180&gt;U180*TpM*FaktorBald,"Fällig","Im Plan"))))))</f>
        <v/>
      </c>
      <c r="AB180" s="69">
        <f>IF(AND(AC180=1,W180&lt;&gt;""),N(W180)+ROW()/100000,"")</f>
        <v/>
      </c>
      <c r="AC180" s="69">
        <f>IF(A180="","",IF(SUBTOTAL(103,A180)=1,1,0))</f>
        <v/>
      </c>
    </row>
    <row r="181" ht="20" customHeight="1">
      <c r="A181" s="60" t="n"/>
      <c r="B181" s="61" t="n"/>
      <c r="C181" s="61" t="n"/>
      <c r="D181" s="61" t="n"/>
      <c r="E181" s="60" t="n"/>
      <c r="F181" s="60" t="n"/>
      <c r="G181" s="60" t="n"/>
      <c r="H181" s="60" t="n"/>
      <c r="I181" s="62" t="n"/>
      <c r="J181" s="63" t="n"/>
      <c r="K181" s="61" t="n"/>
      <c r="L181" s="64" t="n"/>
      <c r="M181" s="60" t="n"/>
      <c r="N181" s="60" t="n"/>
      <c r="O181" s="60" t="n"/>
      <c r="P181" s="61" t="n"/>
      <c r="Q181" s="61" t="n"/>
      <c r="R181" s="65">
        <f>IF(A181="","",TRIM(C181&amp;" "&amp;D181))</f>
        <v/>
      </c>
      <c r="S181" s="66">
        <f>IF(A181="","",IF(COUNTIFS('Häutungen'!$A$7:$A$1006,A181,'Häutungen'!$C$7:$C$1006,"&gt;0")=0,"",_xlfn.MAXIFS('Häutungen'!$C$7:$C$1006,'Häutungen'!$A$7:$A$1006,A181)))</f>
        <v/>
      </c>
      <c r="T181" s="67">
        <f>IF(A181="","",COUNTIFS('Häutungen'!$A$7:$A$1006,A181,'Häutungen'!$C$7:$C$1006,"&gt;0"))</f>
        <v/>
      </c>
      <c r="U181" s="68">
        <f>IF(A181="","",IF(T181&lt;2,"",IFERROR(AVERAGEIFS('Häutungen'!$J$7:$J$1006,'Häutungen'!$A$7:$A$1006,A181,'Häutungen'!$K$7:$K$1006,"&lt;3",'Häutungen'!$I$7:$I$1006,"&gt;0"),"")))</f>
        <v/>
      </c>
      <c r="V181" s="67">
        <f>IF(S181="","",TODAY()-S181)</f>
        <v/>
      </c>
      <c r="W181" s="66">
        <f>IF(OR(U181="",AND(F181="männlich",H181="Adult")),"",S181+ROUND(U181*TpM,0))</f>
        <v/>
      </c>
      <c r="X181" s="68">
        <f>IF(A181="","",IF(S181="",IF(I181="","",I181),IF(SUMIFS('Häutungen'!$D$7:$D$1006,'Häutungen'!$A$7:$A$1006,A181,'Häutungen'!$C$7:$C$1006,S181)&gt;0,SUMIFS('Häutungen'!$D$7:$D$1006,'Häutungen'!$A$7:$A$1006,A181,'Häutungen'!$C$7:$C$1006,S181),IF(I181="","",I181))))</f>
        <v/>
      </c>
      <c r="Y181" s="66">
        <f>IF(A181="","",IF(COUNTIFS('Fütterung'!$A$7:$A$2006,A181,'Fütterung'!$E$7:$E$2006,"Ja")=0,"",_xlfn.MAXIFS('Fütterung'!$C$7:$C$2006,'Fütterung'!$A$7:$A$2006,A181,'Fütterung'!$E$7:$E$2006,"Ja")))</f>
        <v/>
      </c>
      <c r="Z181" s="67">
        <f>IF(Y181="","",TODAY()-Y181)</f>
        <v/>
      </c>
      <c r="AA181" s="65">
        <f>IF(A181="","",IF(AND(F181="männlich",H181="Adult"),"Adultes Männchen",IF(AND(Z181&lt;&gt;"",N(Z181)&gt;=FutterGrenze),"Frisst nicht",IF(U181="","Zu wenig Daten",IF(V181&gt;U181*TpM*FaktorUeber,"Überfällig",IF(V181&gt;U181*TpM*FaktorBald,"Fällig","Im Plan"))))))</f>
        <v/>
      </c>
      <c r="AB181" s="69">
        <f>IF(AND(AC181=1,W181&lt;&gt;""),N(W181)+ROW()/100000,"")</f>
        <v/>
      </c>
      <c r="AC181" s="69">
        <f>IF(A181="","",IF(SUBTOTAL(103,A181)=1,1,0))</f>
        <v/>
      </c>
    </row>
    <row r="182" ht="20" customHeight="1">
      <c r="A182" s="60" t="n"/>
      <c r="B182" s="61" t="n"/>
      <c r="C182" s="61" t="n"/>
      <c r="D182" s="61" t="n"/>
      <c r="E182" s="60" t="n"/>
      <c r="F182" s="60" t="n"/>
      <c r="G182" s="60" t="n"/>
      <c r="H182" s="60" t="n"/>
      <c r="I182" s="62" t="n"/>
      <c r="J182" s="63" t="n"/>
      <c r="K182" s="61" t="n"/>
      <c r="L182" s="64" t="n"/>
      <c r="M182" s="60" t="n"/>
      <c r="N182" s="60" t="n"/>
      <c r="O182" s="60" t="n"/>
      <c r="P182" s="61" t="n"/>
      <c r="Q182" s="61" t="n"/>
      <c r="R182" s="65">
        <f>IF(A182="","",TRIM(C182&amp;" "&amp;D182))</f>
        <v/>
      </c>
      <c r="S182" s="66">
        <f>IF(A182="","",IF(COUNTIFS('Häutungen'!$A$7:$A$1006,A182,'Häutungen'!$C$7:$C$1006,"&gt;0")=0,"",_xlfn.MAXIFS('Häutungen'!$C$7:$C$1006,'Häutungen'!$A$7:$A$1006,A182)))</f>
        <v/>
      </c>
      <c r="T182" s="67">
        <f>IF(A182="","",COUNTIFS('Häutungen'!$A$7:$A$1006,A182,'Häutungen'!$C$7:$C$1006,"&gt;0"))</f>
        <v/>
      </c>
      <c r="U182" s="68">
        <f>IF(A182="","",IF(T182&lt;2,"",IFERROR(AVERAGEIFS('Häutungen'!$J$7:$J$1006,'Häutungen'!$A$7:$A$1006,A182,'Häutungen'!$K$7:$K$1006,"&lt;3",'Häutungen'!$I$7:$I$1006,"&gt;0"),"")))</f>
        <v/>
      </c>
      <c r="V182" s="67">
        <f>IF(S182="","",TODAY()-S182)</f>
        <v/>
      </c>
      <c r="W182" s="66">
        <f>IF(OR(U182="",AND(F182="männlich",H182="Adult")),"",S182+ROUND(U182*TpM,0))</f>
        <v/>
      </c>
      <c r="X182" s="68">
        <f>IF(A182="","",IF(S182="",IF(I182="","",I182),IF(SUMIFS('Häutungen'!$D$7:$D$1006,'Häutungen'!$A$7:$A$1006,A182,'Häutungen'!$C$7:$C$1006,S182)&gt;0,SUMIFS('Häutungen'!$D$7:$D$1006,'Häutungen'!$A$7:$A$1006,A182,'Häutungen'!$C$7:$C$1006,S182),IF(I182="","",I182))))</f>
        <v/>
      </c>
      <c r="Y182" s="66">
        <f>IF(A182="","",IF(COUNTIFS('Fütterung'!$A$7:$A$2006,A182,'Fütterung'!$E$7:$E$2006,"Ja")=0,"",_xlfn.MAXIFS('Fütterung'!$C$7:$C$2006,'Fütterung'!$A$7:$A$2006,A182,'Fütterung'!$E$7:$E$2006,"Ja")))</f>
        <v/>
      </c>
      <c r="Z182" s="67">
        <f>IF(Y182="","",TODAY()-Y182)</f>
        <v/>
      </c>
      <c r="AA182" s="65">
        <f>IF(A182="","",IF(AND(F182="männlich",H182="Adult"),"Adultes Männchen",IF(AND(Z182&lt;&gt;"",N(Z182)&gt;=FutterGrenze),"Frisst nicht",IF(U182="","Zu wenig Daten",IF(V182&gt;U182*TpM*FaktorUeber,"Überfällig",IF(V182&gt;U182*TpM*FaktorBald,"Fällig","Im Plan"))))))</f>
        <v/>
      </c>
      <c r="AB182" s="69">
        <f>IF(AND(AC182=1,W182&lt;&gt;""),N(W182)+ROW()/100000,"")</f>
        <v/>
      </c>
      <c r="AC182" s="69">
        <f>IF(A182="","",IF(SUBTOTAL(103,A182)=1,1,0))</f>
        <v/>
      </c>
    </row>
    <row r="183" ht="20" customHeight="1">
      <c r="A183" s="60" t="n"/>
      <c r="B183" s="61" t="n"/>
      <c r="C183" s="61" t="n"/>
      <c r="D183" s="61" t="n"/>
      <c r="E183" s="60" t="n"/>
      <c r="F183" s="60" t="n"/>
      <c r="G183" s="60" t="n"/>
      <c r="H183" s="60" t="n"/>
      <c r="I183" s="62" t="n"/>
      <c r="J183" s="63" t="n"/>
      <c r="K183" s="61" t="n"/>
      <c r="L183" s="64" t="n"/>
      <c r="M183" s="60" t="n"/>
      <c r="N183" s="60" t="n"/>
      <c r="O183" s="60" t="n"/>
      <c r="P183" s="61" t="n"/>
      <c r="Q183" s="61" t="n"/>
      <c r="R183" s="65">
        <f>IF(A183="","",TRIM(C183&amp;" "&amp;D183))</f>
        <v/>
      </c>
      <c r="S183" s="66">
        <f>IF(A183="","",IF(COUNTIFS('Häutungen'!$A$7:$A$1006,A183,'Häutungen'!$C$7:$C$1006,"&gt;0")=0,"",_xlfn.MAXIFS('Häutungen'!$C$7:$C$1006,'Häutungen'!$A$7:$A$1006,A183)))</f>
        <v/>
      </c>
      <c r="T183" s="67">
        <f>IF(A183="","",COUNTIFS('Häutungen'!$A$7:$A$1006,A183,'Häutungen'!$C$7:$C$1006,"&gt;0"))</f>
        <v/>
      </c>
      <c r="U183" s="68">
        <f>IF(A183="","",IF(T183&lt;2,"",IFERROR(AVERAGEIFS('Häutungen'!$J$7:$J$1006,'Häutungen'!$A$7:$A$1006,A183,'Häutungen'!$K$7:$K$1006,"&lt;3",'Häutungen'!$I$7:$I$1006,"&gt;0"),"")))</f>
        <v/>
      </c>
      <c r="V183" s="67">
        <f>IF(S183="","",TODAY()-S183)</f>
        <v/>
      </c>
      <c r="W183" s="66">
        <f>IF(OR(U183="",AND(F183="männlich",H183="Adult")),"",S183+ROUND(U183*TpM,0))</f>
        <v/>
      </c>
      <c r="X183" s="68">
        <f>IF(A183="","",IF(S183="",IF(I183="","",I183),IF(SUMIFS('Häutungen'!$D$7:$D$1006,'Häutungen'!$A$7:$A$1006,A183,'Häutungen'!$C$7:$C$1006,S183)&gt;0,SUMIFS('Häutungen'!$D$7:$D$1006,'Häutungen'!$A$7:$A$1006,A183,'Häutungen'!$C$7:$C$1006,S183),IF(I183="","",I183))))</f>
        <v/>
      </c>
      <c r="Y183" s="66">
        <f>IF(A183="","",IF(COUNTIFS('Fütterung'!$A$7:$A$2006,A183,'Fütterung'!$E$7:$E$2006,"Ja")=0,"",_xlfn.MAXIFS('Fütterung'!$C$7:$C$2006,'Fütterung'!$A$7:$A$2006,A183,'Fütterung'!$E$7:$E$2006,"Ja")))</f>
        <v/>
      </c>
      <c r="Z183" s="67">
        <f>IF(Y183="","",TODAY()-Y183)</f>
        <v/>
      </c>
      <c r="AA183" s="65">
        <f>IF(A183="","",IF(AND(F183="männlich",H183="Adult"),"Adultes Männchen",IF(AND(Z183&lt;&gt;"",N(Z183)&gt;=FutterGrenze),"Frisst nicht",IF(U183="","Zu wenig Daten",IF(V183&gt;U183*TpM*FaktorUeber,"Überfällig",IF(V183&gt;U183*TpM*FaktorBald,"Fällig","Im Plan"))))))</f>
        <v/>
      </c>
      <c r="AB183" s="69">
        <f>IF(AND(AC183=1,W183&lt;&gt;""),N(W183)+ROW()/100000,"")</f>
        <v/>
      </c>
      <c r="AC183" s="69">
        <f>IF(A183="","",IF(SUBTOTAL(103,A183)=1,1,0))</f>
        <v/>
      </c>
    </row>
    <row r="184" ht="20" customHeight="1">
      <c r="A184" s="60" t="n"/>
      <c r="B184" s="61" t="n"/>
      <c r="C184" s="61" t="n"/>
      <c r="D184" s="61" t="n"/>
      <c r="E184" s="60" t="n"/>
      <c r="F184" s="60" t="n"/>
      <c r="G184" s="60" t="n"/>
      <c r="H184" s="60" t="n"/>
      <c r="I184" s="62" t="n"/>
      <c r="J184" s="63" t="n"/>
      <c r="K184" s="61" t="n"/>
      <c r="L184" s="64" t="n"/>
      <c r="M184" s="60" t="n"/>
      <c r="N184" s="60" t="n"/>
      <c r="O184" s="60" t="n"/>
      <c r="P184" s="61" t="n"/>
      <c r="Q184" s="61" t="n"/>
      <c r="R184" s="65">
        <f>IF(A184="","",TRIM(C184&amp;" "&amp;D184))</f>
        <v/>
      </c>
      <c r="S184" s="66">
        <f>IF(A184="","",IF(COUNTIFS('Häutungen'!$A$7:$A$1006,A184,'Häutungen'!$C$7:$C$1006,"&gt;0")=0,"",_xlfn.MAXIFS('Häutungen'!$C$7:$C$1006,'Häutungen'!$A$7:$A$1006,A184)))</f>
        <v/>
      </c>
      <c r="T184" s="67">
        <f>IF(A184="","",COUNTIFS('Häutungen'!$A$7:$A$1006,A184,'Häutungen'!$C$7:$C$1006,"&gt;0"))</f>
        <v/>
      </c>
      <c r="U184" s="68">
        <f>IF(A184="","",IF(T184&lt;2,"",IFERROR(AVERAGEIFS('Häutungen'!$J$7:$J$1006,'Häutungen'!$A$7:$A$1006,A184,'Häutungen'!$K$7:$K$1006,"&lt;3",'Häutungen'!$I$7:$I$1006,"&gt;0"),"")))</f>
        <v/>
      </c>
      <c r="V184" s="67">
        <f>IF(S184="","",TODAY()-S184)</f>
        <v/>
      </c>
      <c r="W184" s="66">
        <f>IF(OR(U184="",AND(F184="männlich",H184="Adult")),"",S184+ROUND(U184*TpM,0))</f>
        <v/>
      </c>
      <c r="X184" s="68">
        <f>IF(A184="","",IF(S184="",IF(I184="","",I184),IF(SUMIFS('Häutungen'!$D$7:$D$1006,'Häutungen'!$A$7:$A$1006,A184,'Häutungen'!$C$7:$C$1006,S184)&gt;0,SUMIFS('Häutungen'!$D$7:$D$1006,'Häutungen'!$A$7:$A$1006,A184,'Häutungen'!$C$7:$C$1006,S184),IF(I184="","",I184))))</f>
        <v/>
      </c>
      <c r="Y184" s="66">
        <f>IF(A184="","",IF(COUNTIFS('Fütterung'!$A$7:$A$2006,A184,'Fütterung'!$E$7:$E$2006,"Ja")=0,"",_xlfn.MAXIFS('Fütterung'!$C$7:$C$2006,'Fütterung'!$A$7:$A$2006,A184,'Fütterung'!$E$7:$E$2006,"Ja")))</f>
        <v/>
      </c>
      <c r="Z184" s="67">
        <f>IF(Y184="","",TODAY()-Y184)</f>
        <v/>
      </c>
      <c r="AA184" s="65">
        <f>IF(A184="","",IF(AND(F184="männlich",H184="Adult"),"Adultes Männchen",IF(AND(Z184&lt;&gt;"",N(Z184)&gt;=FutterGrenze),"Frisst nicht",IF(U184="","Zu wenig Daten",IF(V184&gt;U184*TpM*FaktorUeber,"Überfällig",IF(V184&gt;U184*TpM*FaktorBald,"Fällig","Im Plan"))))))</f>
        <v/>
      </c>
      <c r="AB184" s="69">
        <f>IF(AND(AC184=1,W184&lt;&gt;""),N(W184)+ROW()/100000,"")</f>
        <v/>
      </c>
      <c r="AC184" s="69">
        <f>IF(A184="","",IF(SUBTOTAL(103,A184)=1,1,0))</f>
        <v/>
      </c>
    </row>
    <row r="185" ht="20" customHeight="1">
      <c r="A185" s="60" t="n"/>
      <c r="B185" s="61" t="n"/>
      <c r="C185" s="61" t="n"/>
      <c r="D185" s="61" t="n"/>
      <c r="E185" s="60" t="n"/>
      <c r="F185" s="60" t="n"/>
      <c r="G185" s="60" t="n"/>
      <c r="H185" s="60" t="n"/>
      <c r="I185" s="62" t="n"/>
      <c r="J185" s="63" t="n"/>
      <c r="K185" s="61" t="n"/>
      <c r="L185" s="64" t="n"/>
      <c r="M185" s="60" t="n"/>
      <c r="N185" s="60" t="n"/>
      <c r="O185" s="60" t="n"/>
      <c r="P185" s="61" t="n"/>
      <c r="Q185" s="61" t="n"/>
      <c r="R185" s="65">
        <f>IF(A185="","",TRIM(C185&amp;" "&amp;D185))</f>
        <v/>
      </c>
      <c r="S185" s="66">
        <f>IF(A185="","",IF(COUNTIFS('Häutungen'!$A$7:$A$1006,A185,'Häutungen'!$C$7:$C$1006,"&gt;0")=0,"",_xlfn.MAXIFS('Häutungen'!$C$7:$C$1006,'Häutungen'!$A$7:$A$1006,A185)))</f>
        <v/>
      </c>
      <c r="T185" s="67">
        <f>IF(A185="","",COUNTIFS('Häutungen'!$A$7:$A$1006,A185,'Häutungen'!$C$7:$C$1006,"&gt;0"))</f>
        <v/>
      </c>
      <c r="U185" s="68">
        <f>IF(A185="","",IF(T185&lt;2,"",IFERROR(AVERAGEIFS('Häutungen'!$J$7:$J$1006,'Häutungen'!$A$7:$A$1006,A185,'Häutungen'!$K$7:$K$1006,"&lt;3",'Häutungen'!$I$7:$I$1006,"&gt;0"),"")))</f>
        <v/>
      </c>
      <c r="V185" s="67">
        <f>IF(S185="","",TODAY()-S185)</f>
        <v/>
      </c>
      <c r="W185" s="66">
        <f>IF(OR(U185="",AND(F185="männlich",H185="Adult")),"",S185+ROUND(U185*TpM,0))</f>
        <v/>
      </c>
      <c r="X185" s="68">
        <f>IF(A185="","",IF(S185="",IF(I185="","",I185),IF(SUMIFS('Häutungen'!$D$7:$D$1006,'Häutungen'!$A$7:$A$1006,A185,'Häutungen'!$C$7:$C$1006,S185)&gt;0,SUMIFS('Häutungen'!$D$7:$D$1006,'Häutungen'!$A$7:$A$1006,A185,'Häutungen'!$C$7:$C$1006,S185),IF(I185="","",I185))))</f>
        <v/>
      </c>
      <c r="Y185" s="66">
        <f>IF(A185="","",IF(COUNTIFS('Fütterung'!$A$7:$A$2006,A185,'Fütterung'!$E$7:$E$2006,"Ja")=0,"",_xlfn.MAXIFS('Fütterung'!$C$7:$C$2006,'Fütterung'!$A$7:$A$2006,A185,'Fütterung'!$E$7:$E$2006,"Ja")))</f>
        <v/>
      </c>
      <c r="Z185" s="67">
        <f>IF(Y185="","",TODAY()-Y185)</f>
        <v/>
      </c>
      <c r="AA185" s="65">
        <f>IF(A185="","",IF(AND(F185="männlich",H185="Adult"),"Adultes Männchen",IF(AND(Z185&lt;&gt;"",N(Z185)&gt;=FutterGrenze),"Frisst nicht",IF(U185="","Zu wenig Daten",IF(V185&gt;U185*TpM*FaktorUeber,"Überfällig",IF(V185&gt;U185*TpM*FaktorBald,"Fällig","Im Plan"))))))</f>
        <v/>
      </c>
      <c r="AB185" s="69">
        <f>IF(AND(AC185=1,W185&lt;&gt;""),N(W185)+ROW()/100000,"")</f>
        <v/>
      </c>
      <c r="AC185" s="69">
        <f>IF(A185="","",IF(SUBTOTAL(103,A185)=1,1,0))</f>
        <v/>
      </c>
    </row>
    <row r="186" ht="20" customHeight="1">
      <c r="A186" s="60" t="n"/>
      <c r="B186" s="61" t="n"/>
      <c r="C186" s="61" t="n"/>
      <c r="D186" s="61" t="n"/>
      <c r="E186" s="60" t="n"/>
      <c r="F186" s="60" t="n"/>
      <c r="G186" s="60" t="n"/>
      <c r="H186" s="60" t="n"/>
      <c r="I186" s="62" t="n"/>
      <c r="J186" s="63" t="n"/>
      <c r="K186" s="61" t="n"/>
      <c r="L186" s="64" t="n"/>
      <c r="M186" s="60" t="n"/>
      <c r="N186" s="60" t="n"/>
      <c r="O186" s="60" t="n"/>
      <c r="P186" s="61" t="n"/>
      <c r="Q186" s="61" t="n"/>
      <c r="R186" s="65">
        <f>IF(A186="","",TRIM(C186&amp;" "&amp;D186))</f>
        <v/>
      </c>
      <c r="S186" s="66">
        <f>IF(A186="","",IF(COUNTIFS('Häutungen'!$A$7:$A$1006,A186,'Häutungen'!$C$7:$C$1006,"&gt;0")=0,"",_xlfn.MAXIFS('Häutungen'!$C$7:$C$1006,'Häutungen'!$A$7:$A$1006,A186)))</f>
        <v/>
      </c>
      <c r="T186" s="67">
        <f>IF(A186="","",COUNTIFS('Häutungen'!$A$7:$A$1006,A186,'Häutungen'!$C$7:$C$1006,"&gt;0"))</f>
        <v/>
      </c>
      <c r="U186" s="68">
        <f>IF(A186="","",IF(T186&lt;2,"",IFERROR(AVERAGEIFS('Häutungen'!$J$7:$J$1006,'Häutungen'!$A$7:$A$1006,A186,'Häutungen'!$K$7:$K$1006,"&lt;3",'Häutungen'!$I$7:$I$1006,"&gt;0"),"")))</f>
        <v/>
      </c>
      <c r="V186" s="67">
        <f>IF(S186="","",TODAY()-S186)</f>
        <v/>
      </c>
      <c r="W186" s="66">
        <f>IF(OR(U186="",AND(F186="männlich",H186="Adult")),"",S186+ROUND(U186*TpM,0))</f>
        <v/>
      </c>
      <c r="X186" s="68">
        <f>IF(A186="","",IF(S186="",IF(I186="","",I186),IF(SUMIFS('Häutungen'!$D$7:$D$1006,'Häutungen'!$A$7:$A$1006,A186,'Häutungen'!$C$7:$C$1006,S186)&gt;0,SUMIFS('Häutungen'!$D$7:$D$1006,'Häutungen'!$A$7:$A$1006,A186,'Häutungen'!$C$7:$C$1006,S186),IF(I186="","",I186))))</f>
        <v/>
      </c>
      <c r="Y186" s="66">
        <f>IF(A186="","",IF(COUNTIFS('Fütterung'!$A$7:$A$2006,A186,'Fütterung'!$E$7:$E$2006,"Ja")=0,"",_xlfn.MAXIFS('Fütterung'!$C$7:$C$2006,'Fütterung'!$A$7:$A$2006,A186,'Fütterung'!$E$7:$E$2006,"Ja")))</f>
        <v/>
      </c>
      <c r="Z186" s="67">
        <f>IF(Y186="","",TODAY()-Y186)</f>
        <v/>
      </c>
      <c r="AA186" s="65">
        <f>IF(A186="","",IF(AND(F186="männlich",H186="Adult"),"Adultes Männchen",IF(AND(Z186&lt;&gt;"",N(Z186)&gt;=FutterGrenze),"Frisst nicht",IF(U186="","Zu wenig Daten",IF(V186&gt;U186*TpM*FaktorUeber,"Überfällig",IF(V186&gt;U186*TpM*FaktorBald,"Fällig","Im Plan"))))))</f>
        <v/>
      </c>
      <c r="AB186" s="69">
        <f>IF(AND(AC186=1,W186&lt;&gt;""),N(W186)+ROW()/100000,"")</f>
        <v/>
      </c>
      <c r="AC186" s="69">
        <f>IF(A186="","",IF(SUBTOTAL(103,A186)=1,1,0))</f>
        <v/>
      </c>
    </row>
    <row r="187" ht="20" customHeight="1">
      <c r="A187" s="60" t="n"/>
      <c r="B187" s="61" t="n"/>
      <c r="C187" s="61" t="n"/>
      <c r="D187" s="61" t="n"/>
      <c r="E187" s="60" t="n"/>
      <c r="F187" s="60" t="n"/>
      <c r="G187" s="60" t="n"/>
      <c r="H187" s="60" t="n"/>
      <c r="I187" s="62" t="n"/>
      <c r="J187" s="63" t="n"/>
      <c r="K187" s="61" t="n"/>
      <c r="L187" s="64" t="n"/>
      <c r="M187" s="60" t="n"/>
      <c r="N187" s="60" t="n"/>
      <c r="O187" s="60" t="n"/>
      <c r="P187" s="61" t="n"/>
      <c r="Q187" s="61" t="n"/>
      <c r="R187" s="65">
        <f>IF(A187="","",TRIM(C187&amp;" "&amp;D187))</f>
        <v/>
      </c>
      <c r="S187" s="66">
        <f>IF(A187="","",IF(COUNTIFS('Häutungen'!$A$7:$A$1006,A187,'Häutungen'!$C$7:$C$1006,"&gt;0")=0,"",_xlfn.MAXIFS('Häutungen'!$C$7:$C$1006,'Häutungen'!$A$7:$A$1006,A187)))</f>
        <v/>
      </c>
      <c r="T187" s="67">
        <f>IF(A187="","",COUNTIFS('Häutungen'!$A$7:$A$1006,A187,'Häutungen'!$C$7:$C$1006,"&gt;0"))</f>
        <v/>
      </c>
      <c r="U187" s="68">
        <f>IF(A187="","",IF(T187&lt;2,"",IFERROR(AVERAGEIFS('Häutungen'!$J$7:$J$1006,'Häutungen'!$A$7:$A$1006,A187,'Häutungen'!$K$7:$K$1006,"&lt;3",'Häutungen'!$I$7:$I$1006,"&gt;0"),"")))</f>
        <v/>
      </c>
      <c r="V187" s="67">
        <f>IF(S187="","",TODAY()-S187)</f>
        <v/>
      </c>
      <c r="W187" s="66">
        <f>IF(OR(U187="",AND(F187="männlich",H187="Adult")),"",S187+ROUND(U187*TpM,0))</f>
        <v/>
      </c>
      <c r="X187" s="68">
        <f>IF(A187="","",IF(S187="",IF(I187="","",I187),IF(SUMIFS('Häutungen'!$D$7:$D$1006,'Häutungen'!$A$7:$A$1006,A187,'Häutungen'!$C$7:$C$1006,S187)&gt;0,SUMIFS('Häutungen'!$D$7:$D$1006,'Häutungen'!$A$7:$A$1006,A187,'Häutungen'!$C$7:$C$1006,S187),IF(I187="","",I187))))</f>
        <v/>
      </c>
      <c r="Y187" s="66">
        <f>IF(A187="","",IF(COUNTIFS('Fütterung'!$A$7:$A$2006,A187,'Fütterung'!$E$7:$E$2006,"Ja")=0,"",_xlfn.MAXIFS('Fütterung'!$C$7:$C$2006,'Fütterung'!$A$7:$A$2006,A187,'Fütterung'!$E$7:$E$2006,"Ja")))</f>
        <v/>
      </c>
      <c r="Z187" s="67">
        <f>IF(Y187="","",TODAY()-Y187)</f>
        <v/>
      </c>
      <c r="AA187" s="65">
        <f>IF(A187="","",IF(AND(F187="männlich",H187="Adult"),"Adultes Männchen",IF(AND(Z187&lt;&gt;"",N(Z187)&gt;=FutterGrenze),"Frisst nicht",IF(U187="","Zu wenig Daten",IF(V187&gt;U187*TpM*FaktorUeber,"Überfällig",IF(V187&gt;U187*TpM*FaktorBald,"Fällig","Im Plan"))))))</f>
        <v/>
      </c>
      <c r="AB187" s="69">
        <f>IF(AND(AC187=1,W187&lt;&gt;""),N(W187)+ROW()/100000,"")</f>
        <v/>
      </c>
      <c r="AC187" s="69">
        <f>IF(A187="","",IF(SUBTOTAL(103,A187)=1,1,0))</f>
        <v/>
      </c>
    </row>
    <row r="188" ht="20" customHeight="1">
      <c r="A188" s="60" t="n"/>
      <c r="B188" s="61" t="n"/>
      <c r="C188" s="61" t="n"/>
      <c r="D188" s="61" t="n"/>
      <c r="E188" s="60" t="n"/>
      <c r="F188" s="60" t="n"/>
      <c r="G188" s="60" t="n"/>
      <c r="H188" s="60" t="n"/>
      <c r="I188" s="62" t="n"/>
      <c r="J188" s="63" t="n"/>
      <c r="K188" s="61" t="n"/>
      <c r="L188" s="64" t="n"/>
      <c r="M188" s="60" t="n"/>
      <c r="N188" s="60" t="n"/>
      <c r="O188" s="60" t="n"/>
      <c r="P188" s="61" t="n"/>
      <c r="Q188" s="61" t="n"/>
      <c r="R188" s="65">
        <f>IF(A188="","",TRIM(C188&amp;" "&amp;D188))</f>
        <v/>
      </c>
      <c r="S188" s="66">
        <f>IF(A188="","",IF(COUNTIFS('Häutungen'!$A$7:$A$1006,A188,'Häutungen'!$C$7:$C$1006,"&gt;0")=0,"",_xlfn.MAXIFS('Häutungen'!$C$7:$C$1006,'Häutungen'!$A$7:$A$1006,A188)))</f>
        <v/>
      </c>
      <c r="T188" s="67">
        <f>IF(A188="","",COUNTIFS('Häutungen'!$A$7:$A$1006,A188,'Häutungen'!$C$7:$C$1006,"&gt;0"))</f>
        <v/>
      </c>
      <c r="U188" s="68">
        <f>IF(A188="","",IF(T188&lt;2,"",IFERROR(AVERAGEIFS('Häutungen'!$J$7:$J$1006,'Häutungen'!$A$7:$A$1006,A188,'Häutungen'!$K$7:$K$1006,"&lt;3",'Häutungen'!$I$7:$I$1006,"&gt;0"),"")))</f>
        <v/>
      </c>
      <c r="V188" s="67">
        <f>IF(S188="","",TODAY()-S188)</f>
        <v/>
      </c>
      <c r="W188" s="66">
        <f>IF(OR(U188="",AND(F188="männlich",H188="Adult")),"",S188+ROUND(U188*TpM,0))</f>
        <v/>
      </c>
      <c r="X188" s="68">
        <f>IF(A188="","",IF(S188="",IF(I188="","",I188),IF(SUMIFS('Häutungen'!$D$7:$D$1006,'Häutungen'!$A$7:$A$1006,A188,'Häutungen'!$C$7:$C$1006,S188)&gt;0,SUMIFS('Häutungen'!$D$7:$D$1006,'Häutungen'!$A$7:$A$1006,A188,'Häutungen'!$C$7:$C$1006,S188),IF(I188="","",I188))))</f>
        <v/>
      </c>
      <c r="Y188" s="66">
        <f>IF(A188="","",IF(COUNTIFS('Fütterung'!$A$7:$A$2006,A188,'Fütterung'!$E$7:$E$2006,"Ja")=0,"",_xlfn.MAXIFS('Fütterung'!$C$7:$C$2006,'Fütterung'!$A$7:$A$2006,A188,'Fütterung'!$E$7:$E$2006,"Ja")))</f>
        <v/>
      </c>
      <c r="Z188" s="67">
        <f>IF(Y188="","",TODAY()-Y188)</f>
        <v/>
      </c>
      <c r="AA188" s="65">
        <f>IF(A188="","",IF(AND(F188="männlich",H188="Adult"),"Adultes Männchen",IF(AND(Z188&lt;&gt;"",N(Z188)&gt;=FutterGrenze),"Frisst nicht",IF(U188="","Zu wenig Daten",IF(V188&gt;U188*TpM*FaktorUeber,"Überfällig",IF(V188&gt;U188*TpM*FaktorBald,"Fällig","Im Plan"))))))</f>
        <v/>
      </c>
      <c r="AB188" s="69">
        <f>IF(AND(AC188=1,W188&lt;&gt;""),N(W188)+ROW()/100000,"")</f>
        <v/>
      </c>
      <c r="AC188" s="69">
        <f>IF(A188="","",IF(SUBTOTAL(103,A188)=1,1,0))</f>
        <v/>
      </c>
    </row>
    <row r="189" ht="20" customHeight="1">
      <c r="A189" s="60" t="n"/>
      <c r="B189" s="61" t="n"/>
      <c r="C189" s="61" t="n"/>
      <c r="D189" s="61" t="n"/>
      <c r="E189" s="60" t="n"/>
      <c r="F189" s="60" t="n"/>
      <c r="G189" s="60" t="n"/>
      <c r="H189" s="60" t="n"/>
      <c r="I189" s="62" t="n"/>
      <c r="J189" s="63" t="n"/>
      <c r="K189" s="61" t="n"/>
      <c r="L189" s="64" t="n"/>
      <c r="M189" s="60" t="n"/>
      <c r="N189" s="60" t="n"/>
      <c r="O189" s="60" t="n"/>
      <c r="P189" s="61" t="n"/>
      <c r="Q189" s="61" t="n"/>
      <c r="R189" s="65">
        <f>IF(A189="","",TRIM(C189&amp;" "&amp;D189))</f>
        <v/>
      </c>
      <c r="S189" s="66">
        <f>IF(A189="","",IF(COUNTIFS('Häutungen'!$A$7:$A$1006,A189,'Häutungen'!$C$7:$C$1006,"&gt;0")=0,"",_xlfn.MAXIFS('Häutungen'!$C$7:$C$1006,'Häutungen'!$A$7:$A$1006,A189)))</f>
        <v/>
      </c>
      <c r="T189" s="67">
        <f>IF(A189="","",COUNTIFS('Häutungen'!$A$7:$A$1006,A189,'Häutungen'!$C$7:$C$1006,"&gt;0"))</f>
        <v/>
      </c>
      <c r="U189" s="68">
        <f>IF(A189="","",IF(T189&lt;2,"",IFERROR(AVERAGEIFS('Häutungen'!$J$7:$J$1006,'Häutungen'!$A$7:$A$1006,A189,'Häutungen'!$K$7:$K$1006,"&lt;3",'Häutungen'!$I$7:$I$1006,"&gt;0"),"")))</f>
        <v/>
      </c>
      <c r="V189" s="67">
        <f>IF(S189="","",TODAY()-S189)</f>
        <v/>
      </c>
      <c r="W189" s="66">
        <f>IF(OR(U189="",AND(F189="männlich",H189="Adult")),"",S189+ROUND(U189*TpM,0))</f>
        <v/>
      </c>
      <c r="X189" s="68">
        <f>IF(A189="","",IF(S189="",IF(I189="","",I189),IF(SUMIFS('Häutungen'!$D$7:$D$1006,'Häutungen'!$A$7:$A$1006,A189,'Häutungen'!$C$7:$C$1006,S189)&gt;0,SUMIFS('Häutungen'!$D$7:$D$1006,'Häutungen'!$A$7:$A$1006,A189,'Häutungen'!$C$7:$C$1006,S189),IF(I189="","",I189))))</f>
        <v/>
      </c>
      <c r="Y189" s="66">
        <f>IF(A189="","",IF(COUNTIFS('Fütterung'!$A$7:$A$2006,A189,'Fütterung'!$E$7:$E$2006,"Ja")=0,"",_xlfn.MAXIFS('Fütterung'!$C$7:$C$2006,'Fütterung'!$A$7:$A$2006,A189,'Fütterung'!$E$7:$E$2006,"Ja")))</f>
        <v/>
      </c>
      <c r="Z189" s="67">
        <f>IF(Y189="","",TODAY()-Y189)</f>
        <v/>
      </c>
      <c r="AA189" s="65">
        <f>IF(A189="","",IF(AND(F189="männlich",H189="Adult"),"Adultes Männchen",IF(AND(Z189&lt;&gt;"",N(Z189)&gt;=FutterGrenze),"Frisst nicht",IF(U189="","Zu wenig Daten",IF(V189&gt;U189*TpM*FaktorUeber,"Überfällig",IF(V189&gt;U189*TpM*FaktorBald,"Fällig","Im Plan"))))))</f>
        <v/>
      </c>
      <c r="AB189" s="69">
        <f>IF(AND(AC189=1,W189&lt;&gt;""),N(W189)+ROW()/100000,"")</f>
        <v/>
      </c>
      <c r="AC189" s="69">
        <f>IF(A189="","",IF(SUBTOTAL(103,A189)=1,1,0))</f>
        <v/>
      </c>
    </row>
    <row r="190" ht="20" customHeight="1">
      <c r="A190" s="60" t="n"/>
      <c r="B190" s="61" t="n"/>
      <c r="C190" s="61" t="n"/>
      <c r="D190" s="61" t="n"/>
      <c r="E190" s="60" t="n"/>
      <c r="F190" s="60" t="n"/>
      <c r="G190" s="60" t="n"/>
      <c r="H190" s="60" t="n"/>
      <c r="I190" s="62" t="n"/>
      <c r="J190" s="63" t="n"/>
      <c r="K190" s="61" t="n"/>
      <c r="L190" s="64" t="n"/>
      <c r="M190" s="60" t="n"/>
      <c r="N190" s="60" t="n"/>
      <c r="O190" s="60" t="n"/>
      <c r="P190" s="61" t="n"/>
      <c r="Q190" s="61" t="n"/>
      <c r="R190" s="65">
        <f>IF(A190="","",TRIM(C190&amp;" "&amp;D190))</f>
        <v/>
      </c>
      <c r="S190" s="66">
        <f>IF(A190="","",IF(COUNTIFS('Häutungen'!$A$7:$A$1006,A190,'Häutungen'!$C$7:$C$1006,"&gt;0")=0,"",_xlfn.MAXIFS('Häutungen'!$C$7:$C$1006,'Häutungen'!$A$7:$A$1006,A190)))</f>
        <v/>
      </c>
      <c r="T190" s="67">
        <f>IF(A190="","",COUNTIFS('Häutungen'!$A$7:$A$1006,A190,'Häutungen'!$C$7:$C$1006,"&gt;0"))</f>
        <v/>
      </c>
      <c r="U190" s="68">
        <f>IF(A190="","",IF(T190&lt;2,"",IFERROR(AVERAGEIFS('Häutungen'!$J$7:$J$1006,'Häutungen'!$A$7:$A$1006,A190,'Häutungen'!$K$7:$K$1006,"&lt;3",'Häutungen'!$I$7:$I$1006,"&gt;0"),"")))</f>
        <v/>
      </c>
      <c r="V190" s="67">
        <f>IF(S190="","",TODAY()-S190)</f>
        <v/>
      </c>
      <c r="W190" s="66">
        <f>IF(OR(U190="",AND(F190="männlich",H190="Adult")),"",S190+ROUND(U190*TpM,0))</f>
        <v/>
      </c>
      <c r="X190" s="68">
        <f>IF(A190="","",IF(S190="",IF(I190="","",I190),IF(SUMIFS('Häutungen'!$D$7:$D$1006,'Häutungen'!$A$7:$A$1006,A190,'Häutungen'!$C$7:$C$1006,S190)&gt;0,SUMIFS('Häutungen'!$D$7:$D$1006,'Häutungen'!$A$7:$A$1006,A190,'Häutungen'!$C$7:$C$1006,S190),IF(I190="","",I190))))</f>
        <v/>
      </c>
      <c r="Y190" s="66">
        <f>IF(A190="","",IF(COUNTIFS('Fütterung'!$A$7:$A$2006,A190,'Fütterung'!$E$7:$E$2006,"Ja")=0,"",_xlfn.MAXIFS('Fütterung'!$C$7:$C$2006,'Fütterung'!$A$7:$A$2006,A190,'Fütterung'!$E$7:$E$2006,"Ja")))</f>
        <v/>
      </c>
      <c r="Z190" s="67">
        <f>IF(Y190="","",TODAY()-Y190)</f>
        <v/>
      </c>
      <c r="AA190" s="65">
        <f>IF(A190="","",IF(AND(F190="männlich",H190="Adult"),"Adultes Männchen",IF(AND(Z190&lt;&gt;"",N(Z190)&gt;=FutterGrenze),"Frisst nicht",IF(U190="","Zu wenig Daten",IF(V190&gt;U190*TpM*FaktorUeber,"Überfällig",IF(V190&gt;U190*TpM*FaktorBald,"Fällig","Im Plan"))))))</f>
        <v/>
      </c>
      <c r="AB190" s="69">
        <f>IF(AND(AC190=1,W190&lt;&gt;""),N(W190)+ROW()/100000,"")</f>
        <v/>
      </c>
      <c r="AC190" s="69">
        <f>IF(A190="","",IF(SUBTOTAL(103,A190)=1,1,0))</f>
        <v/>
      </c>
    </row>
    <row r="191" ht="20" customHeight="1">
      <c r="A191" s="60" t="n"/>
      <c r="B191" s="61" t="n"/>
      <c r="C191" s="61" t="n"/>
      <c r="D191" s="61" t="n"/>
      <c r="E191" s="60" t="n"/>
      <c r="F191" s="60" t="n"/>
      <c r="G191" s="60" t="n"/>
      <c r="H191" s="60" t="n"/>
      <c r="I191" s="62" t="n"/>
      <c r="J191" s="63" t="n"/>
      <c r="K191" s="61" t="n"/>
      <c r="L191" s="64" t="n"/>
      <c r="M191" s="60" t="n"/>
      <c r="N191" s="60" t="n"/>
      <c r="O191" s="60" t="n"/>
      <c r="P191" s="61" t="n"/>
      <c r="Q191" s="61" t="n"/>
      <c r="R191" s="65">
        <f>IF(A191="","",TRIM(C191&amp;" "&amp;D191))</f>
        <v/>
      </c>
      <c r="S191" s="66">
        <f>IF(A191="","",IF(COUNTIFS('Häutungen'!$A$7:$A$1006,A191,'Häutungen'!$C$7:$C$1006,"&gt;0")=0,"",_xlfn.MAXIFS('Häutungen'!$C$7:$C$1006,'Häutungen'!$A$7:$A$1006,A191)))</f>
        <v/>
      </c>
      <c r="T191" s="67">
        <f>IF(A191="","",COUNTIFS('Häutungen'!$A$7:$A$1006,A191,'Häutungen'!$C$7:$C$1006,"&gt;0"))</f>
        <v/>
      </c>
      <c r="U191" s="68">
        <f>IF(A191="","",IF(T191&lt;2,"",IFERROR(AVERAGEIFS('Häutungen'!$J$7:$J$1006,'Häutungen'!$A$7:$A$1006,A191,'Häutungen'!$K$7:$K$1006,"&lt;3",'Häutungen'!$I$7:$I$1006,"&gt;0"),"")))</f>
        <v/>
      </c>
      <c r="V191" s="67">
        <f>IF(S191="","",TODAY()-S191)</f>
        <v/>
      </c>
      <c r="W191" s="66">
        <f>IF(OR(U191="",AND(F191="männlich",H191="Adult")),"",S191+ROUND(U191*TpM,0))</f>
        <v/>
      </c>
      <c r="X191" s="68">
        <f>IF(A191="","",IF(S191="",IF(I191="","",I191),IF(SUMIFS('Häutungen'!$D$7:$D$1006,'Häutungen'!$A$7:$A$1006,A191,'Häutungen'!$C$7:$C$1006,S191)&gt;0,SUMIFS('Häutungen'!$D$7:$D$1006,'Häutungen'!$A$7:$A$1006,A191,'Häutungen'!$C$7:$C$1006,S191),IF(I191="","",I191))))</f>
        <v/>
      </c>
      <c r="Y191" s="66">
        <f>IF(A191="","",IF(COUNTIFS('Fütterung'!$A$7:$A$2006,A191,'Fütterung'!$E$7:$E$2006,"Ja")=0,"",_xlfn.MAXIFS('Fütterung'!$C$7:$C$2006,'Fütterung'!$A$7:$A$2006,A191,'Fütterung'!$E$7:$E$2006,"Ja")))</f>
        <v/>
      </c>
      <c r="Z191" s="67">
        <f>IF(Y191="","",TODAY()-Y191)</f>
        <v/>
      </c>
      <c r="AA191" s="65">
        <f>IF(A191="","",IF(AND(F191="männlich",H191="Adult"),"Adultes Männchen",IF(AND(Z191&lt;&gt;"",N(Z191)&gt;=FutterGrenze),"Frisst nicht",IF(U191="","Zu wenig Daten",IF(V191&gt;U191*TpM*FaktorUeber,"Überfällig",IF(V191&gt;U191*TpM*FaktorBald,"Fällig","Im Plan"))))))</f>
        <v/>
      </c>
      <c r="AB191" s="69">
        <f>IF(AND(AC191=1,W191&lt;&gt;""),N(W191)+ROW()/100000,"")</f>
        <v/>
      </c>
      <c r="AC191" s="69">
        <f>IF(A191="","",IF(SUBTOTAL(103,A191)=1,1,0))</f>
        <v/>
      </c>
    </row>
    <row r="192" ht="20" customHeight="1">
      <c r="A192" s="60" t="n"/>
      <c r="B192" s="61" t="n"/>
      <c r="C192" s="61" t="n"/>
      <c r="D192" s="61" t="n"/>
      <c r="E192" s="60" t="n"/>
      <c r="F192" s="60" t="n"/>
      <c r="G192" s="60" t="n"/>
      <c r="H192" s="60" t="n"/>
      <c r="I192" s="62" t="n"/>
      <c r="J192" s="63" t="n"/>
      <c r="K192" s="61" t="n"/>
      <c r="L192" s="64" t="n"/>
      <c r="M192" s="60" t="n"/>
      <c r="N192" s="60" t="n"/>
      <c r="O192" s="60" t="n"/>
      <c r="P192" s="61" t="n"/>
      <c r="Q192" s="61" t="n"/>
      <c r="R192" s="65">
        <f>IF(A192="","",TRIM(C192&amp;" "&amp;D192))</f>
        <v/>
      </c>
      <c r="S192" s="66">
        <f>IF(A192="","",IF(COUNTIFS('Häutungen'!$A$7:$A$1006,A192,'Häutungen'!$C$7:$C$1006,"&gt;0")=0,"",_xlfn.MAXIFS('Häutungen'!$C$7:$C$1006,'Häutungen'!$A$7:$A$1006,A192)))</f>
        <v/>
      </c>
      <c r="T192" s="67">
        <f>IF(A192="","",COUNTIFS('Häutungen'!$A$7:$A$1006,A192,'Häutungen'!$C$7:$C$1006,"&gt;0"))</f>
        <v/>
      </c>
      <c r="U192" s="68">
        <f>IF(A192="","",IF(T192&lt;2,"",IFERROR(AVERAGEIFS('Häutungen'!$J$7:$J$1006,'Häutungen'!$A$7:$A$1006,A192,'Häutungen'!$K$7:$K$1006,"&lt;3",'Häutungen'!$I$7:$I$1006,"&gt;0"),"")))</f>
        <v/>
      </c>
      <c r="V192" s="67">
        <f>IF(S192="","",TODAY()-S192)</f>
        <v/>
      </c>
      <c r="W192" s="66">
        <f>IF(OR(U192="",AND(F192="männlich",H192="Adult")),"",S192+ROUND(U192*TpM,0))</f>
        <v/>
      </c>
      <c r="X192" s="68">
        <f>IF(A192="","",IF(S192="",IF(I192="","",I192),IF(SUMIFS('Häutungen'!$D$7:$D$1006,'Häutungen'!$A$7:$A$1006,A192,'Häutungen'!$C$7:$C$1006,S192)&gt;0,SUMIFS('Häutungen'!$D$7:$D$1006,'Häutungen'!$A$7:$A$1006,A192,'Häutungen'!$C$7:$C$1006,S192),IF(I192="","",I192))))</f>
        <v/>
      </c>
      <c r="Y192" s="66">
        <f>IF(A192="","",IF(COUNTIFS('Fütterung'!$A$7:$A$2006,A192,'Fütterung'!$E$7:$E$2006,"Ja")=0,"",_xlfn.MAXIFS('Fütterung'!$C$7:$C$2006,'Fütterung'!$A$7:$A$2006,A192,'Fütterung'!$E$7:$E$2006,"Ja")))</f>
        <v/>
      </c>
      <c r="Z192" s="67">
        <f>IF(Y192="","",TODAY()-Y192)</f>
        <v/>
      </c>
      <c r="AA192" s="65">
        <f>IF(A192="","",IF(AND(F192="männlich",H192="Adult"),"Adultes Männchen",IF(AND(Z192&lt;&gt;"",N(Z192)&gt;=FutterGrenze),"Frisst nicht",IF(U192="","Zu wenig Daten",IF(V192&gt;U192*TpM*FaktorUeber,"Überfällig",IF(V192&gt;U192*TpM*FaktorBald,"Fällig","Im Plan"))))))</f>
        <v/>
      </c>
      <c r="AB192" s="69">
        <f>IF(AND(AC192=1,W192&lt;&gt;""),N(W192)+ROW()/100000,"")</f>
        <v/>
      </c>
      <c r="AC192" s="69">
        <f>IF(A192="","",IF(SUBTOTAL(103,A192)=1,1,0))</f>
        <v/>
      </c>
    </row>
    <row r="193" ht="20" customHeight="1">
      <c r="A193" s="60" t="n"/>
      <c r="B193" s="61" t="n"/>
      <c r="C193" s="61" t="n"/>
      <c r="D193" s="61" t="n"/>
      <c r="E193" s="60" t="n"/>
      <c r="F193" s="60" t="n"/>
      <c r="G193" s="60" t="n"/>
      <c r="H193" s="60" t="n"/>
      <c r="I193" s="62" t="n"/>
      <c r="J193" s="63" t="n"/>
      <c r="K193" s="61" t="n"/>
      <c r="L193" s="64" t="n"/>
      <c r="M193" s="60" t="n"/>
      <c r="N193" s="60" t="n"/>
      <c r="O193" s="60" t="n"/>
      <c r="P193" s="61" t="n"/>
      <c r="Q193" s="61" t="n"/>
      <c r="R193" s="65">
        <f>IF(A193="","",TRIM(C193&amp;" "&amp;D193))</f>
        <v/>
      </c>
      <c r="S193" s="66">
        <f>IF(A193="","",IF(COUNTIFS('Häutungen'!$A$7:$A$1006,A193,'Häutungen'!$C$7:$C$1006,"&gt;0")=0,"",_xlfn.MAXIFS('Häutungen'!$C$7:$C$1006,'Häutungen'!$A$7:$A$1006,A193)))</f>
        <v/>
      </c>
      <c r="T193" s="67">
        <f>IF(A193="","",COUNTIFS('Häutungen'!$A$7:$A$1006,A193,'Häutungen'!$C$7:$C$1006,"&gt;0"))</f>
        <v/>
      </c>
      <c r="U193" s="68">
        <f>IF(A193="","",IF(T193&lt;2,"",IFERROR(AVERAGEIFS('Häutungen'!$J$7:$J$1006,'Häutungen'!$A$7:$A$1006,A193,'Häutungen'!$K$7:$K$1006,"&lt;3",'Häutungen'!$I$7:$I$1006,"&gt;0"),"")))</f>
        <v/>
      </c>
      <c r="V193" s="67">
        <f>IF(S193="","",TODAY()-S193)</f>
        <v/>
      </c>
      <c r="W193" s="66">
        <f>IF(OR(U193="",AND(F193="männlich",H193="Adult")),"",S193+ROUND(U193*TpM,0))</f>
        <v/>
      </c>
      <c r="X193" s="68">
        <f>IF(A193="","",IF(S193="",IF(I193="","",I193),IF(SUMIFS('Häutungen'!$D$7:$D$1006,'Häutungen'!$A$7:$A$1006,A193,'Häutungen'!$C$7:$C$1006,S193)&gt;0,SUMIFS('Häutungen'!$D$7:$D$1006,'Häutungen'!$A$7:$A$1006,A193,'Häutungen'!$C$7:$C$1006,S193),IF(I193="","",I193))))</f>
        <v/>
      </c>
      <c r="Y193" s="66">
        <f>IF(A193="","",IF(COUNTIFS('Fütterung'!$A$7:$A$2006,A193,'Fütterung'!$E$7:$E$2006,"Ja")=0,"",_xlfn.MAXIFS('Fütterung'!$C$7:$C$2006,'Fütterung'!$A$7:$A$2006,A193,'Fütterung'!$E$7:$E$2006,"Ja")))</f>
        <v/>
      </c>
      <c r="Z193" s="67">
        <f>IF(Y193="","",TODAY()-Y193)</f>
        <v/>
      </c>
      <c r="AA193" s="65">
        <f>IF(A193="","",IF(AND(F193="männlich",H193="Adult"),"Adultes Männchen",IF(AND(Z193&lt;&gt;"",N(Z193)&gt;=FutterGrenze),"Frisst nicht",IF(U193="","Zu wenig Daten",IF(V193&gt;U193*TpM*FaktorUeber,"Überfällig",IF(V193&gt;U193*TpM*FaktorBald,"Fällig","Im Plan"))))))</f>
        <v/>
      </c>
      <c r="AB193" s="69">
        <f>IF(AND(AC193=1,W193&lt;&gt;""),N(W193)+ROW()/100000,"")</f>
        <v/>
      </c>
      <c r="AC193" s="69">
        <f>IF(A193="","",IF(SUBTOTAL(103,A193)=1,1,0))</f>
        <v/>
      </c>
    </row>
    <row r="194" ht="20" customHeight="1">
      <c r="A194" s="60" t="n"/>
      <c r="B194" s="61" t="n"/>
      <c r="C194" s="61" t="n"/>
      <c r="D194" s="61" t="n"/>
      <c r="E194" s="60" t="n"/>
      <c r="F194" s="60" t="n"/>
      <c r="G194" s="60" t="n"/>
      <c r="H194" s="60" t="n"/>
      <c r="I194" s="62" t="n"/>
      <c r="J194" s="63" t="n"/>
      <c r="K194" s="61" t="n"/>
      <c r="L194" s="64" t="n"/>
      <c r="M194" s="60" t="n"/>
      <c r="N194" s="60" t="n"/>
      <c r="O194" s="60" t="n"/>
      <c r="P194" s="61" t="n"/>
      <c r="Q194" s="61" t="n"/>
      <c r="R194" s="65">
        <f>IF(A194="","",TRIM(C194&amp;" "&amp;D194))</f>
        <v/>
      </c>
      <c r="S194" s="66">
        <f>IF(A194="","",IF(COUNTIFS('Häutungen'!$A$7:$A$1006,A194,'Häutungen'!$C$7:$C$1006,"&gt;0")=0,"",_xlfn.MAXIFS('Häutungen'!$C$7:$C$1006,'Häutungen'!$A$7:$A$1006,A194)))</f>
        <v/>
      </c>
      <c r="T194" s="67">
        <f>IF(A194="","",COUNTIFS('Häutungen'!$A$7:$A$1006,A194,'Häutungen'!$C$7:$C$1006,"&gt;0"))</f>
        <v/>
      </c>
      <c r="U194" s="68">
        <f>IF(A194="","",IF(T194&lt;2,"",IFERROR(AVERAGEIFS('Häutungen'!$J$7:$J$1006,'Häutungen'!$A$7:$A$1006,A194,'Häutungen'!$K$7:$K$1006,"&lt;3",'Häutungen'!$I$7:$I$1006,"&gt;0"),"")))</f>
        <v/>
      </c>
      <c r="V194" s="67">
        <f>IF(S194="","",TODAY()-S194)</f>
        <v/>
      </c>
      <c r="W194" s="66">
        <f>IF(OR(U194="",AND(F194="männlich",H194="Adult")),"",S194+ROUND(U194*TpM,0))</f>
        <v/>
      </c>
      <c r="X194" s="68">
        <f>IF(A194="","",IF(S194="",IF(I194="","",I194),IF(SUMIFS('Häutungen'!$D$7:$D$1006,'Häutungen'!$A$7:$A$1006,A194,'Häutungen'!$C$7:$C$1006,S194)&gt;0,SUMIFS('Häutungen'!$D$7:$D$1006,'Häutungen'!$A$7:$A$1006,A194,'Häutungen'!$C$7:$C$1006,S194),IF(I194="","",I194))))</f>
        <v/>
      </c>
      <c r="Y194" s="66">
        <f>IF(A194="","",IF(COUNTIFS('Fütterung'!$A$7:$A$2006,A194,'Fütterung'!$E$7:$E$2006,"Ja")=0,"",_xlfn.MAXIFS('Fütterung'!$C$7:$C$2006,'Fütterung'!$A$7:$A$2006,A194,'Fütterung'!$E$7:$E$2006,"Ja")))</f>
        <v/>
      </c>
      <c r="Z194" s="67">
        <f>IF(Y194="","",TODAY()-Y194)</f>
        <v/>
      </c>
      <c r="AA194" s="65">
        <f>IF(A194="","",IF(AND(F194="männlich",H194="Adult"),"Adultes Männchen",IF(AND(Z194&lt;&gt;"",N(Z194)&gt;=FutterGrenze),"Frisst nicht",IF(U194="","Zu wenig Daten",IF(V194&gt;U194*TpM*FaktorUeber,"Überfällig",IF(V194&gt;U194*TpM*FaktorBald,"Fällig","Im Plan"))))))</f>
        <v/>
      </c>
      <c r="AB194" s="69">
        <f>IF(AND(AC194=1,W194&lt;&gt;""),N(W194)+ROW()/100000,"")</f>
        <v/>
      </c>
      <c r="AC194" s="69">
        <f>IF(A194="","",IF(SUBTOTAL(103,A194)=1,1,0))</f>
        <v/>
      </c>
    </row>
    <row r="195" ht="20" customHeight="1">
      <c r="A195" s="60" t="n"/>
      <c r="B195" s="61" t="n"/>
      <c r="C195" s="61" t="n"/>
      <c r="D195" s="61" t="n"/>
      <c r="E195" s="60" t="n"/>
      <c r="F195" s="60" t="n"/>
      <c r="G195" s="60" t="n"/>
      <c r="H195" s="60" t="n"/>
      <c r="I195" s="62" t="n"/>
      <c r="J195" s="63" t="n"/>
      <c r="K195" s="61" t="n"/>
      <c r="L195" s="64" t="n"/>
      <c r="M195" s="60" t="n"/>
      <c r="N195" s="60" t="n"/>
      <c r="O195" s="60" t="n"/>
      <c r="P195" s="61" t="n"/>
      <c r="Q195" s="61" t="n"/>
      <c r="R195" s="65">
        <f>IF(A195="","",TRIM(C195&amp;" "&amp;D195))</f>
        <v/>
      </c>
      <c r="S195" s="66">
        <f>IF(A195="","",IF(COUNTIFS('Häutungen'!$A$7:$A$1006,A195,'Häutungen'!$C$7:$C$1006,"&gt;0")=0,"",_xlfn.MAXIFS('Häutungen'!$C$7:$C$1006,'Häutungen'!$A$7:$A$1006,A195)))</f>
        <v/>
      </c>
      <c r="T195" s="67">
        <f>IF(A195="","",COUNTIFS('Häutungen'!$A$7:$A$1006,A195,'Häutungen'!$C$7:$C$1006,"&gt;0"))</f>
        <v/>
      </c>
      <c r="U195" s="68">
        <f>IF(A195="","",IF(T195&lt;2,"",IFERROR(AVERAGEIFS('Häutungen'!$J$7:$J$1006,'Häutungen'!$A$7:$A$1006,A195,'Häutungen'!$K$7:$K$1006,"&lt;3",'Häutungen'!$I$7:$I$1006,"&gt;0"),"")))</f>
        <v/>
      </c>
      <c r="V195" s="67">
        <f>IF(S195="","",TODAY()-S195)</f>
        <v/>
      </c>
      <c r="W195" s="66">
        <f>IF(OR(U195="",AND(F195="männlich",H195="Adult")),"",S195+ROUND(U195*TpM,0))</f>
        <v/>
      </c>
      <c r="X195" s="68">
        <f>IF(A195="","",IF(S195="",IF(I195="","",I195),IF(SUMIFS('Häutungen'!$D$7:$D$1006,'Häutungen'!$A$7:$A$1006,A195,'Häutungen'!$C$7:$C$1006,S195)&gt;0,SUMIFS('Häutungen'!$D$7:$D$1006,'Häutungen'!$A$7:$A$1006,A195,'Häutungen'!$C$7:$C$1006,S195),IF(I195="","",I195))))</f>
        <v/>
      </c>
      <c r="Y195" s="66">
        <f>IF(A195="","",IF(COUNTIFS('Fütterung'!$A$7:$A$2006,A195,'Fütterung'!$E$7:$E$2006,"Ja")=0,"",_xlfn.MAXIFS('Fütterung'!$C$7:$C$2006,'Fütterung'!$A$7:$A$2006,A195,'Fütterung'!$E$7:$E$2006,"Ja")))</f>
        <v/>
      </c>
      <c r="Z195" s="67">
        <f>IF(Y195="","",TODAY()-Y195)</f>
        <v/>
      </c>
      <c r="AA195" s="65">
        <f>IF(A195="","",IF(AND(F195="männlich",H195="Adult"),"Adultes Männchen",IF(AND(Z195&lt;&gt;"",N(Z195)&gt;=FutterGrenze),"Frisst nicht",IF(U195="","Zu wenig Daten",IF(V195&gt;U195*TpM*FaktorUeber,"Überfällig",IF(V195&gt;U195*TpM*FaktorBald,"Fällig","Im Plan"))))))</f>
        <v/>
      </c>
      <c r="AB195" s="69">
        <f>IF(AND(AC195=1,W195&lt;&gt;""),N(W195)+ROW()/100000,"")</f>
        <v/>
      </c>
      <c r="AC195" s="69">
        <f>IF(A195="","",IF(SUBTOTAL(103,A195)=1,1,0))</f>
        <v/>
      </c>
    </row>
    <row r="196" ht="20" customHeight="1">
      <c r="A196" s="60" t="n"/>
      <c r="B196" s="61" t="n"/>
      <c r="C196" s="61" t="n"/>
      <c r="D196" s="61" t="n"/>
      <c r="E196" s="60" t="n"/>
      <c r="F196" s="60" t="n"/>
      <c r="G196" s="60" t="n"/>
      <c r="H196" s="60" t="n"/>
      <c r="I196" s="62" t="n"/>
      <c r="J196" s="63" t="n"/>
      <c r="K196" s="61" t="n"/>
      <c r="L196" s="64" t="n"/>
      <c r="M196" s="60" t="n"/>
      <c r="N196" s="60" t="n"/>
      <c r="O196" s="60" t="n"/>
      <c r="P196" s="61" t="n"/>
      <c r="Q196" s="61" t="n"/>
      <c r="R196" s="65">
        <f>IF(A196="","",TRIM(C196&amp;" "&amp;D196))</f>
        <v/>
      </c>
      <c r="S196" s="66">
        <f>IF(A196="","",IF(COUNTIFS('Häutungen'!$A$7:$A$1006,A196,'Häutungen'!$C$7:$C$1006,"&gt;0")=0,"",_xlfn.MAXIFS('Häutungen'!$C$7:$C$1006,'Häutungen'!$A$7:$A$1006,A196)))</f>
        <v/>
      </c>
      <c r="T196" s="67">
        <f>IF(A196="","",COUNTIFS('Häutungen'!$A$7:$A$1006,A196,'Häutungen'!$C$7:$C$1006,"&gt;0"))</f>
        <v/>
      </c>
      <c r="U196" s="68">
        <f>IF(A196="","",IF(T196&lt;2,"",IFERROR(AVERAGEIFS('Häutungen'!$J$7:$J$1006,'Häutungen'!$A$7:$A$1006,A196,'Häutungen'!$K$7:$K$1006,"&lt;3",'Häutungen'!$I$7:$I$1006,"&gt;0"),"")))</f>
        <v/>
      </c>
      <c r="V196" s="67">
        <f>IF(S196="","",TODAY()-S196)</f>
        <v/>
      </c>
      <c r="W196" s="66">
        <f>IF(OR(U196="",AND(F196="männlich",H196="Adult")),"",S196+ROUND(U196*TpM,0))</f>
        <v/>
      </c>
      <c r="X196" s="68">
        <f>IF(A196="","",IF(S196="",IF(I196="","",I196),IF(SUMIFS('Häutungen'!$D$7:$D$1006,'Häutungen'!$A$7:$A$1006,A196,'Häutungen'!$C$7:$C$1006,S196)&gt;0,SUMIFS('Häutungen'!$D$7:$D$1006,'Häutungen'!$A$7:$A$1006,A196,'Häutungen'!$C$7:$C$1006,S196),IF(I196="","",I196))))</f>
        <v/>
      </c>
      <c r="Y196" s="66">
        <f>IF(A196="","",IF(COUNTIFS('Fütterung'!$A$7:$A$2006,A196,'Fütterung'!$E$7:$E$2006,"Ja")=0,"",_xlfn.MAXIFS('Fütterung'!$C$7:$C$2006,'Fütterung'!$A$7:$A$2006,A196,'Fütterung'!$E$7:$E$2006,"Ja")))</f>
        <v/>
      </c>
      <c r="Z196" s="67">
        <f>IF(Y196="","",TODAY()-Y196)</f>
        <v/>
      </c>
      <c r="AA196" s="65">
        <f>IF(A196="","",IF(AND(F196="männlich",H196="Adult"),"Adultes Männchen",IF(AND(Z196&lt;&gt;"",N(Z196)&gt;=FutterGrenze),"Frisst nicht",IF(U196="","Zu wenig Daten",IF(V196&gt;U196*TpM*FaktorUeber,"Überfällig",IF(V196&gt;U196*TpM*FaktorBald,"Fällig","Im Plan"))))))</f>
        <v/>
      </c>
      <c r="AB196" s="69">
        <f>IF(AND(AC196=1,W196&lt;&gt;""),N(W196)+ROW()/100000,"")</f>
        <v/>
      </c>
      <c r="AC196" s="69">
        <f>IF(A196="","",IF(SUBTOTAL(103,A196)=1,1,0))</f>
        <v/>
      </c>
    </row>
    <row r="197" ht="20" customHeight="1">
      <c r="A197" s="60" t="n"/>
      <c r="B197" s="61" t="n"/>
      <c r="C197" s="61" t="n"/>
      <c r="D197" s="61" t="n"/>
      <c r="E197" s="60" t="n"/>
      <c r="F197" s="60" t="n"/>
      <c r="G197" s="60" t="n"/>
      <c r="H197" s="60" t="n"/>
      <c r="I197" s="62" t="n"/>
      <c r="J197" s="63" t="n"/>
      <c r="K197" s="61" t="n"/>
      <c r="L197" s="64" t="n"/>
      <c r="M197" s="60" t="n"/>
      <c r="N197" s="60" t="n"/>
      <c r="O197" s="60" t="n"/>
      <c r="P197" s="61" t="n"/>
      <c r="Q197" s="61" t="n"/>
      <c r="R197" s="65">
        <f>IF(A197="","",TRIM(C197&amp;" "&amp;D197))</f>
        <v/>
      </c>
      <c r="S197" s="66">
        <f>IF(A197="","",IF(COUNTIFS('Häutungen'!$A$7:$A$1006,A197,'Häutungen'!$C$7:$C$1006,"&gt;0")=0,"",_xlfn.MAXIFS('Häutungen'!$C$7:$C$1006,'Häutungen'!$A$7:$A$1006,A197)))</f>
        <v/>
      </c>
      <c r="T197" s="67">
        <f>IF(A197="","",COUNTIFS('Häutungen'!$A$7:$A$1006,A197,'Häutungen'!$C$7:$C$1006,"&gt;0"))</f>
        <v/>
      </c>
      <c r="U197" s="68">
        <f>IF(A197="","",IF(T197&lt;2,"",IFERROR(AVERAGEIFS('Häutungen'!$J$7:$J$1006,'Häutungen'!$A$7:$A$1006,A197,'Häutungen'!$K$7:$K$1006,"&lt;3",'Häutungen'!$I$7:$I$1006,"&gt;0"),"")))</f>
        <v/>
      </c>
      <c r="V197" s="67">
        <f>IF(S197="","",TODAY()-S197)</f>
        <v/>
      </c>
      <c r="W197" s="66">
        <f>IF(OR(U197="",AND(F197="männlich",H197="Adult")),"",S197+ROUND(U197*TpM,0))</f>
        <v/>
      </c>
      <c r="X197" s="68">
        <f>IF(A197="","",IF(S197="",IF(I197="","",I197),IF(SUMIFS('Häutungen'!$D$7:$D$1006,'Häutungen'!$A$7:$A$1006,A197,'Häutungen'!$C$7:$C$1006,S197)&gt;0,SUMIFS('Häutungen'!$D$7:$D$1006,'Häutungen'!$A$7:$A$1006,A197,'Häutungen'!$C$7:$C$1006,S197),IF(I197="","",I197))))</f>
        <v/>
      </c>
      <c r="Y197" s="66">
        <f>IF(A197="","",IF(COUNTIFS('Fütterung'!$A$7:$A$2006,A197,'Fütterung'!$E$7:$E$2006,"Ja")=0,"",_xlfn.MAXIFS('Fütterung'!$C$7:$C$2006,'Fütterung'!$A$7:$A$2006,A197,'Fütterung'!$E$7:$E$2006,"Ja")))</f>
        <v/>
      </c>
      <c r="Z197" s="67">
        <f>IF(Y197="","",TODAY()-Y197)</f>
        <v/>
      </c>
      <c r="AA197" s="65">
        <f>IF(A197="","",IF(AND(F197="männlich",H197="Adult"),"Adultes Männchen",IF(AND(Z197&lt;&gt;"",N(Z197)&gt;=FutterGrenze),"Frisst nicht",IF(U197="","Zu wenig Daten",IF(V197&gt;U197*TpM*FaktorUeber,"Überfällig",IF(V197&gt;U197*TpM*FaktorBald,"Fällig","Im Plan"))))))</f>
        <v/>
      </c>
      <c r="AB197" s="69">
        <f>IF(AND(AC197=1,W197&lt;&gt;""),N(W197)+ROW()/100000,"")</f>
        <v/>
      </c>
      <c r="AC197" s="69">
        <f>IF(A197="","",IF(SUBTOTAL(103,A197)=1,1,0))</f>
        <v/>
      </c>
    </row>
    <row r="198" ht="20" customHeight="1">
      <c r="A198" s="60" t="n"/>
      <c r="B198" s="61" t="n"/>
      <c r="C198" s="61" t="n"/>
      <c r="D198" s="61" t="n"/>
      <c r="E198" s="60" t="n"/>
      <c r="F198" s="60" t="n"/>
      <c r="G198" s="60" t="n"/>
      <c r="H198" s="60" t="n"/>
      <c r="I198" s="62" t="n"/>
      <c r="J198" s="63" t="n"/>
      <c r="K198" s="61" t="n"/>
      <c r="L198" s="64" t="n"/>
      <c r="M198" s="60" t="n"/>
      <c r="N198" s="60" t="n"/>
      <c r="O198" s="60" t="n"/>
      <c r="P198" s="61" t="n"/>
      <c r="Q198" s="61" t="n"/>
      <c r="R198" s="65">
        <f>IF(A198="","",TRIM(C198&amp;" "&amp;D198))</f>
        <v/>
      </c>
      <c r="S198" s="66">
        <f>IF(A198="","",IF(COUNTIFS('Häutungen'!$A$7:$A$1006,A198,'Häutungen'!$C$7:$C$1006,"&gt;0")=0,"",_xlfn.MAXIFS('Häutungen'!$C$7:$C$1006,'Häutungen'!$A$7:$A$1006,A198)))</f>
        <v/>
      </c>
      <c r="T198" s="67">
        <f>IF(A198="","",COUNTIFS('Häutungen'!$A$7:$A$1006,A198,'Häutungen'!$C$7:$C$1006,"&gt;0"))</f>
        <v/>
      </c>
      <c r="U198" s="68">
        <f>IF(A198="","",IF(T198&lt;2,"",IFERROR(AVERAGEIFS('Häutungen'!$J$7:$J$1006,'Häutungen'!$A$7:$A$1006,A198,'Häutungen'!$K$7:$K$1006,"&lt;3",'Häutungen'!$I$7:$I$1006,"&gt;0"),"")))</f>
        <v/>
      </c>
      <c r="V198" s="67">
        <f>IF(S198="","",TODAY()-S198)</f>
        <v/>
      </c>
      <c r="W198" s="66">
        <f>IF(OR(U198="",AND(F198="männlich",H198="Adult")),"",S198+ROUND(U198*TpM,0))</f>
        <v/>
      </c>
      <c r="X198" s="68">
        <f>IF(A198="","",IF(S198="",IF(I198="","",I198),IF(SUMIFS('Häutungen'!$D$7:$D$1006,'Häutungen'!$A$7:$A$1006,A198,'Häutungen'!$C$7:$C$1006,S198)&gt;0,SUMIFS('Häutungen'!$D$7:$D$1006,'Häutungen'!$A$7:$A$1006,A198,'Häutungen'!$C$7:$C$1006,S198),IF(I198="","",I198))))</f>
        <v/>
      </c>
      <c r="Y198" s="66">
        <f>IF(A198="","",IF(COUNTIFS('Fütterung'!$A$7:$A$2006,A198,'Fütterung'!$E$7:$E$2006,"Ja")=0,"",_xlfn.MAXIFS('Fütterung'!$C$7:$C$2006,'Fütterung'!$A$7:$A$2006,A198,'Fütterung'!$E$7:$E$2006,"Ja")))</f>
        <v/>
      </c>
      <c r="Z198" s="67">
        <f>IF(Y198="","",TODAY()-Y198)</f>
        <v/>
      </c>
      <c r="AA198" s="65">
        <f>IF(A198="","",IF(AND(F198="männlich",H198="Adult"),"Adultes Männchen",IF(AND(Z198&lt;&gt;"",N(Z198)&gt;=FutterGrenze),"Frisst nicht",IF(U198="","Zu wenig Daten",IF(V198&gt;U198*TpM*FaktorUeber,"Überfällig",IF(V198&gt;U198*TpM*FaktorBald,"Fällig","Im Plan"))))))</f>
        <v/>
      </c>
      <c r="AB198" s="69">
        <f>IF(AND(AC198=1,W198&lt;&gt;""),N(W198)+ROW()/100000,"")</f>
        <v/>
      </c>
      <c r="AC198" s="69">
        <f>IF(A198="","",IF(SUBTOTAL(103,A198)=1,1,0))</f>
        <v/>
      </c>
    </row>
    <row r="199" ht="20" customHeight="1">
      <c r="A199" s="60" t="n"/>
      <c r="B199" s="61" t="n"/>
      <c r="C199" s="61" t="n"/>
      <c r="D199" s="61" t="n"/>
      <c r="E199" s="60" t="n"/>
      <c r="F199" s="60" t="n"/>
      <c r="G199" s="60" t="n"/>
      <c r="H199" s="60" t="n"/>
      <c r="I199" s="62" t="n"/>
      <c r="J199" s="63" t="n"/>
      <c r="K199" s="61" t="n"/>
      <c r="L199" s="64" t="n"/>
      <c r="M199" s="60" t="n"/>
      <c r="N199" s="60" t="n"/>
      <c r="O199" s="60" t="n"/>
      <c r="P199" s="61" t="n"/>
      <c r="Q199" s="61" t="n"/>
      <c r="R199" s="65">
        <f>IF(A199="","",TRIM(C199&amp;" "&amp;D199))</f>
        <v/>
      </c>
      <c r="S199" s="66">
        <f>IF(A199="","",IF(COUNTIFS('Häutungen'!$A$7:$A$1006,A199,'Häutungen'!$C$7:$C$1006,"&gt;0")=0,"",_xlfn.MAXIFS('Häutungen'!$C$7:$C$1006,'Häutungen'!$A$7:$A$1006,A199)))</f>
        <v/>
      </c>
      <c r="T199" s="67">
        <f>IF(A199="","",COUNTIFS('Häutungen'!$A$7:$A$1006,A199,'Häutungen'!$C$7:$C$1006,"&gt;0"))</f>
        <v/>
      </c>
      <c r="U199" s="68">
        <f>IF(A199="","",IF(T199&lt;2,"",IFERROR(AVERAGEIFS('Häutungen'!$J$7:$J$1006,'Häutungen'!$A$7:$A$1006,A199,'Häutungen'!$K$7:$K$1006,"&lt;3",'Häutungen'!$I$7:$I$1006,"&gt;0"),"")))</f>
        <v/>
      </c>
      <c r="V199" s="67">
        <f>IF(S199="","",TODAY()-S199)</f>
        <v/>
      </c>
      <c r="W199" s="66">
        <f>IF(OR(U199="",AND(F199="männlich",H199="Adult")),"",S199+ROUND(U199*TpM,0))</f>
        <v/>
      </c>
      <c r="X199" s="68">
        <f>IF(A199="","",IF(S199="",IF(I199="","",I199),IF(SUMIFS('Häutungen'!$D$7:$D$1006,'Häutungen'!$A$7:$A$1006,A199,'Häutungen'!$C$7:$C$1006,S199)&gt;0,SUMIFS('Häutungen'!$D$7:$D$1006,'Häutungen'!$A$7:$A$1006,A199,'Häutungen'!$C$7:$C$1006,S199),IF(I199="","",I199))))</f>
        <v/>
      </c>
      <c r="Y199" s="66">
        <f>IF(A199="","",IF(COUNTIFS('Fütterung'!$A$7:$A$2006,A199,'Fütterung'!$E$7:$E$2006,"Ja")=0,"",_xlfn.MAXIFS('Fütterung'!$C$7:$C$2006,'Fütterung'!$A$7:$A$2006,A199,'Fütterung'!$E$7:$E$2006,"Ja")))</f>
        <v/>
      </c>
      <c r="Z199" s="67">
        <f>IF(Y199="","",TODAY()-Y199)</f>
        <v/>
      </c>
      <c r="AA199" s="65">
        <f>IF(A199="","",IF(AND(F199="männlich",H199="Adult"),"Adultes Männchen",IF(AND(Z199&lt;&gt;"",N(Z199)&gt;=FutterGrenze),"Frisst nicht",IF(U199="","Zu wenig Daten",IF(V199&gt;U199*TpM*FaktorUeber,"Überfällig",IF(V199&gt;U199*TpM*FaktorBald,"Fällig","Im Plan"))))))</f>
        <v/>
      </c>
      <c r="AB199" s="69">
        <f>IF(AND(AC199=1,W199&lt;&gt;""),N(W199)+ROW()/100000,"")</f>
        <v/>
      </c>
      <c r="AC199" s="69">
        <f>IF(A199="","",IF(SUBTOTAL(103,A199)=1,1,0))</f>
        <v/>
      </c>
    </row>
    <row r="200" ht="20" customHeight="1">
      <c r="A200" s="60" t="n"/>
      <c r="B200" s="61" t="n"/>
      <c r="C200" s="61" t="n"/>
      <c r="D200" s="61" t="n"/>
      <c r="E200" s="60" t="n"/>
      <c r="F200" s="60" t="n"/>
      <c r="G200" s="60" t="n"/>
      <c r="H200" s="60" t="n"/>
      <c r="I200" s="62" t="n"/>
      <c r="J200" s="63" t="n"/>
      <c r="K200" s="61" t="n"/>
      <c r="L200" s="64" t="n"/>
      <c r="M200" s="60" t="n"/>
      <c r="N200" s="60" t="n"/>
      <c r="O200" s="60" t="n"/>
      <c r="P200" s="61" t="n"/>
      <c r="Q200" s="61" t="n"/>
      <c r="R200" s="65">
        <f>IF(A200="","",TRIM(C200&amp;" "&amp;D200))</f>
        <v/>
      </c>
      <c r="S200" s="66">
        <f>IF(A200="","",IF(COUNTIFS('Häutungen'!$A$7:$A$1006,A200,'Häutungen'!$C$7:$C$1006,"&gt;0")=0,"",_xlfn.MAXIFS('Häutungen'!$C$7:$C$1006,'Häutungen'!$A$7:$A$1006,A200)))</f>
        <v/>
      </c>
      <c r="T200" s="67">
        <f>IF(A200="","",COUNTIFS('Häutungen'!$A$7:$A$1006,A200,'Häutungen'!$C$7:$C$1006,"&gt;0"))</f>
        <v/>
      </c>
      <c r="U200" s="68">
        <f>IF(A200="","",IF(T200&lt;2,"",IFERROR(AVERAGEIFS('Häutungen'!$J$7:$J$1006,'Häutungen'!$A$7:$A$1006,A200,'Häutungen'!$K$7:$K$1006,"&lt;3",'Häutungen'!$I$7:$I$1006,"&gt;0"),"")))</f>
        <v/>
      </c>
      <c r="V200" s="67">
        <f>IF(S200="","",TODAY()-S200)</f>
        <v/>
      </c>
      <c r="W200" s="66">
        <f>IF(OR(U200="",AND(F200="männlich",H200="Adult")),"",S200+ROUND(U200*TpM,0))</f>
        <v/>
      </c>
      <c r="X200" s="68">
        <f>IF(A200="","",IF(S200="",IF(I200="","",I200),IF(SUMIFS('Häutungen'!$D$7:$D$1006,'Häutungen'!$A$7:$A$1006,A200,'Häutungen'!$C$7:$C$1006,S200)&gt;0,SUMIFS('Häutungen'!$D$7:$D$1006,'Häutungen'!$A$7:$A$1006,A200,'Häutungen'!$C$7:$C$1006,S200),IF(I200="","",I200))))</f>
        <v/>
      </c>
      <c r="Y200" s="66">
        <f>IF(A200="","",IF(COUNTIFS('Fütterung'!$A$7:$A$2006,A200,'Fütterung'!$E$7:$E$2006,"Ja")=0,"",_xlfn.MAXIFS('Fütterung'!$C$7:$C$2006,'Fütterung'!$A$7:$A$2006,A200,'Fütterung'!$E$7:$E$2006,"Ja")))</f>
        <v/>
      </c>
      <c r="Z200" s="67">
        <f>IF(Y200="","",TODAY()-Y200)</f>
        <v/>
      </c>
      <c r="AA200" s="65">
        <f>IF(A200="","",IF(AND(F200="männlich",H200="Adult"),"Adultes Männchen",IF(AND(Z200&lt;&gt;"",N(Z200)&gt;=FutterGrenze),"Frisst nicht",IF(U200="","Zu wenig Daten",IF(V200&gt;U200*TpM*FaktorUeber,"Überfällig",IF(V200&gt;U200*TpM*FaktorBald,"Fällig","Im Plan"))))))</f>
        <v/>
      </c>
      <c r="AB200" s="69">
        <f>IF(AND(AC200=1,W200&lt;&gt;""),N(W200)+ROW()/100000,"")</f>
        <v/>
      </c>
      <c r="AC200" s="69">
        <f>IF(A200="","",IF(SUBTOTAL(103,A200)=1,1,0))</f>
        <v/>
      </c>
    </row>
    <row r="201" ht="20" customHeight="1">
      <c r="A201" s="60" t="n"/>
      <c r="B201" s="61" t="n"/>
      <c r="C201" s="61" t="n"/>
      <c r="D201" s="61" t="n"/>
      <c r="E201" s="60" t="n"/>
      <c r="F201" s="60" t="n"/>
      <c r="G201" s="60" t="n"/>
      <c r="H201" s="60" t="n"/>
      <c r="I201" s="62" t="n"/>
      <c r="J201" s="63" t="n"/>
      <c r="K201" s="61" t="n"/>
      <c r="L201" s="64" t="n"/>
      <c r="M201" s="60" t="n"/>
      <c r="N201" s="60" t="n"/>
      <c r="O201" s="60" t="n"/>
      <c r="P201" s="61" t="n"/>
      <c r="Q201" s="61" t="n"/>
      <c r="R201" s="65">
        <f>IF(A201="","",TRIM(C201&amp;" "&amp;D201))</f>
        <v/>
      </c>
      <c r="S201" s="66">
        <f>IF(A201="","",IF(COUNTIFS('Häutungen'!$A$7:$A$1006,A201,'Häutungen'!$C$7:$C$1006,"&gt;0")=0,"",_xlfn.MAXIFS('Häutungen'!$C$7:$C$1006,'Häutungen'!$A$7:$A$1006,A201)))</f>
        <v/>
      </c>
      <c r="T201" s="67">
        <f>IF(A201="","",COUNTIFS('Häutungen'!$A$7:$A$1006,A201,'Häutungen'!$C$7:$C$1006,"&gt;0"))</f>
        <v/>
      </c>
      <c r="U201" s="68">
        <f>IF(A201="","",IF(T201&lt;2,"",IFERROR(AVERAGEIFS('Häutungen'!$J$7:$J$1006,'Häutungen'!$A$7:$A$1006,A201,'Häutungen'!$K$7:$K$1006,"&lt;3",'Häutungen'!$I$7:$I$1006,"&gt;0"),"")))</f>
        <v/>
      </c>
      <c r="V201" s="67">
        <f>IF(S201="","",TODAY()-S201)</f>
        <v/>
      </c>
      <c r="W201" s="66">
        <f>IF(OR(U201="",AND(F201="männlich",H201="Adult")),"",S201+ROUND(U201*TpM,0))</f>
        <v/>
      </c>
      <c r="X201" s="68">
        <f>IF(A201="","",IF(S201="",IF(I201="","",I201),IF(SUMIFS('Häutungen'!$D$7:$D$1006,'Häutungen'!$A$7:$A$1006,A201,'Häutungen'!$C$7:$C$1006,S201)&gt;0,SUMIFS('Häutungen'!$D$7:$D$1006,'Häutungen'!$A$7:$A$1006,A201,'Häutungen'!$C$7:$C$1006,S201),IF(I201="","",I201))))</f>
        <v/>
      </c>
      <c r="Y201" s="66">
        <f>IF(A201="","",IF(COUNTIFS('Fütterung'!$A$7:$A$2006,A201,'Fütterung'!$E$7:$E$2006,"Ja")=0,"",_xlfn.MAXIFS('Fütterung'!$C$7:$C$2006,'Fütterung'!$A$7:$A$2006,A201,'Fütterung'!$E$7:$E$2006,"Ja")))</f>
        <v/>
      </c>
      <c r="Z201" s="67">
        <f>IF(Y201="","",TODAY()-Y201)</f>
        <v/>
      </c>
      <c r="AA201" s="65">
        <f>IF(A201="","",IF(AND(F201="männlich",H201="Adult"),"Adultes Männchen",IF(AND(Z201&lt;&gt;"",N(Z201)&gt;=FutterGrenze),"Frisst nicht",IF(U201="","Zu wenig Daten",IF(V201&gt;U201*TpM*FaktorUeber,"Überfällig",IF(V201&gt;U201*TpM*FaktorBald,"Fällig","Im Plan"))))))</f>
        <v/>
      </c>
      <c r="AB201" s="69">
        <f>IF(AND(AC201=1,W201&lt;&gt;""),N(W201)+ROW()/100000,"")</f>
        <v/>
      </c>
      <c r="AC201" s="69">
        <f>IF(A201="","",IF(SUBTOTAL(103,A201)=1,1,0))</f>
        <v/>
      </c>
    </row>
    <row r="202" ht="20" customHeight="1">
      <c r="A202" s="60" t="n"/>
      <c r="B202" s="61" t="n"/>
      <c r="C202" s="61" t="n"/>
      <c r="D202" s="61" t="n"/>
      <c r="E202" s="60" t="n"/>
      <c r="F202" s="60" t="n"/>
      <c r="G202" s="60" t="n"/>
      <c r="H202" s="60" t="n"/>
      <c r="I202" s="62" t="n"/>
      <c r="J202" s="63" t="n"/>
      <c r="K202" s="61" t="n"/>
      <c r="L202" s="64" t="n"/>
      <c r="M202" s="60" t="n"/>
      <c r="N202" s="60" t="n"/>
      <c r="O202" s="60" t="n"/>
      <c r="P202" s="61" t="n"/>
      <c r="Q202" s="61" t="n"/>
      <c r="R202" s="65">
        <f>IF(A202="","",TRIM(C202&amp;" "&amp;D202))</f>
        <v/>
      </c>
      <c r="S202" s="66">
        <f>IF(A202="","",IF(COUNTIFS('Häutungen'!$A$7:$A$1006,A202,'Häutungen'!$C$7:$C$1006,"&gt;0")=0,"",_xlfn.MAXIFS('Häutungen'!$C$7:$C$1006,'Häutungen'!$A$7:$A$1006,A202)))</f>
        <v/>
      </c>
      <c r="T202" s="67">
        <f>IF(A202="","",COUNTIFS('Häutungen'!$A$7:$A$1006,A202,'Häutungen'!$C$7:$C$1006,"&gt;0"))</f>
        <v/>
      </c>
      <c r="U202" s="68">
        <f>IF(A202="","",IF(T202&lt;2,"",IFERROR(AVERAGEIFS('Häutungen'!$J$7:$J$1006,'Häutungen'!$A$7:$A$1006,A202,'Häutungen'!$K$7:$K$1006,"&lt;3",'Häutungen'!$I$7:$I$1006,"&gt;0"),"")))</f>
        <v/>
      </c>
      <c r="V202" s="67">
        <f>IF(S202="","",TODAY()-S202)</f>
        <v/>
      </c>
      <c r="W202" s="66">
        <f>IF(OR(U202="",AND(F202="männlich",H202="Adult")),"",S202+ROUND(U202*TpM,0))</f>
        <v/>
      </c>
      <c r="X202" s="68">
        <f>IF(A202="","",IF(S202="",IF(I202="","",I202),IF(SUMIFS('Häutungen'!$D$7:$D$1006,'Häutungen'!$A$7:$A$1006,A202,'Häutungen'!$C$7:$C$1006,S202)&gt;0,SUMIFS('Häutungen'!$D$7:$D$1006,'Häutungen'!$A$7:$A$1006,A202,'Häutungen'!$C$7:$C$1006,S202),IF(I202="","",I202))))</f>
        <v/>
      </c>
      <c r="Y202" s="66">
        <f>IF(A202="","",IF(COUNTIFS('Fütterung'!$A$7:$A$2006,A202,'Fütterung'!$E$7:$E$2006,"Ja")=0,"",_xlfn.MAXIFS('Fütterung'!$C$7:$C$2006,'Fütterung'!$A$7:$A$2006,A202,'Fütterung'!$E$7:$E$2006,"Ja")))</f>
        <v/>
      </c>
      <c r="Z202" s="67">
        <f>IF(Y202="","",TODAY()-Y202)</f>
        <v/>
      </c>
      <c r="AA202" s="65">
        <f>IF(A202="","",IF(AND(F202="männlich",H202="Adult"),"Adultes Männchen",IF(AND(Z202&lt;&gt;"",N(Z202)&gt;=FutterGrenze),"Frisst nicht",IF(U202="","Zu wenig Daten",IF(V202&gt;U202*TpM*FaktorUeber,"Überfällig",IF(V202&gt;U202*TpM*FaktorBald,"Fällig","Im Plan"))))))</f>
        <v/>
      </c>
      <c r="AB202" s="69">
        <f>IF(AND(AC202=1,W202&lt;&gt;""),N(W202)+ROW()/100000,"")</f>
        <v/>
      </c>
      <c r="AC202" s="69">
        <f>IF(A202="","",IF(SUBTOTAL(103,A202)=1,1,0))</f>
        <v/>
      </c>
    </row>
    <row r="203" ht="20" customHeight="1">
      <c r="A203" s="60" t="n"/>
      <c r="B203" s="61" t="n"/>
      <c r="C203" s="61" t="n"/>
      <c r="D203" s="61" t="n"/>
      <c r="E203" s="60" t="n"/>
      <c r="F203" s="60" t="n"/>
      <c r="G203" s="60" t="n"/>
      <c r="H203" s="60" t="n"/>
      <c r="I203" s="62" t="n"/>
      <c r="J203" s="63" t="n"/>
      <c r="K203" s="61" t="n"/>
      <c r="L203" s="64" t="n"/>
      <c r="M203" s="60" t="n"/>
      <c r="N203" s="60" t="n"/>
      <c r="O203" s="60" t="n"/>
      <c r="P203" s="61" t="n"/>
      <c r="Q203" s="61" t="n"/>
      <c r="R203" s="65">
        <f>IF(A203="","",TRIM(C203&amp;" "&amp;D203))</f>
        <v/>
      </c>
      <c r="S203" s="66">
        <f>IF(A203="","",IF(COUNTIFS('Häutungen'!$A$7:$A$1006,A203,'Häutungen'!$C$7:$C$1006,"&gt;0")=0,"",_xlfn.MAXIFS('Häutungen'!$C$7:$C$1006,'Häutungen'!$A$7:$A$1006,A203)))</f>
        <v/>
      </c>
      <c r="T203" s="67">
        <f>IF(A203="","",COUNTIFS('Häutungen'!$A$7:$A$1006,A203,'Häutungen'!$C$7:$C$1006,"&gt;0"))</f>
        <v/>
      </c>
      <c r="U203" s="68">
        <f>IF(A203="","",IF(T203&lt;2,"",IFERROR(AVERAGEIFS('Häutungen'!$J$7:$J$1006,'Häutungen'!$A$7:$A$1006,A203,'Häutungen'!$K$7:$K$1006,"&lt;3",'Häutungen'!$I$7:$I$1006,"&gt;0"),"")))</f>
        <v/>
      </c>
      <c r="V203" s="67">
        <f>IF(S203="","",TODAY()-S203)</f>
        <v/>
      </c>
      <c r="W203" s="66">
        <f>IF(OR(U203="",AND(F203="männlich",H203="Adult")),"",S203+ROUND(U203*TpM,0))</f>
        <v/>
      </c>
      <c r="X203" s="68">
        <f>IF(A203="","",IF(S203="",IF(I203="","",I203),IF(SUMIFS('Häutungen'!$D$7:$D$1006,'Häutungen'!$A$7:$A$1006,A203,'Häutungen'!$C$7:$C$1006,S203)&gt;0,SUMIFS('Häutungen'!$D$7:$D$1006,'Häutungen'!$A$7:$A$1006,A203,'Häutungen'!$C$7:$C$1006,S203),IF(I203="","",I203))))</f>
        <v/>
      </c>
      <c r="Y203" s="66">
        <f>IF(A203="","",IF(COUNTIFS('Fütterung'!$A$7:$A$2006,A203,'Fütterung'!$E$7:$E$2006,"Ja")=0,"",_xlfn.MAXIFS('Fütterung'!$C$7:$C$2006,'Fütterung'!$A$7:$A$2006,A203,'Fütterung'!$E$7:$E$2006,"Ja")))</f>
        <v/>
      </c>
      <c r="Z203" s="67">
        <f>IF(Y203="","",TODAY()-Y203)</f>
        <v/>
      </c>
      <c r="AA203" s="65">
        <f>IF(A203="","",IF(AND(F203="männlich",H203="Adult"),"Adultes Männchen",IF(AND(Z203&lt;&gt;"",N(Z203)&gt;=FutterGrenze),"Frisst nicht",IF(U203="","Zu wenig Daten",IF(V203&gt;U203*TpM*FaktorUeber,"Überfällig",IF(V203&gt;U203*TpM*FaktorBald,"Fällig","Im Plan"))))))</f>
        <v/>
      </c>
      <c r="AB203" s="69">
        <f>IF(AND(AC203=1,W203&lt;&gt;""),N(W203)+ROW()/100000,"")</f>
        <v/>
      </c>
      <c r="AC203" s="69">
        <f>IF(A203="","",IF(SUBTOTAL(103,A203)=1,1,0))</f>
        <v/>
      </c>
    </row>
    <row r="204" ht="20" customHeight="1">
      <c r="A204" s="60" t="n"/>
      <c r="B204" s="61" t="n"/>
      <c r="C204" s="61" t="n"/>
      <c r="D204" s="61" t="n"/>
      <c r="E204" s="60" t="n"/>
      <c r="F204" s="60" t="n"/>
      <c r="G204" s="60" t="n"/>
      <c r="H204" s="60" t="n"/>
      <c r="I204" s="62" t="n"/>
      <c r="J204" s="63" t="n"/>
      <c r="K204" s="61" t="n"/>
      <c r="L204" s="64" t="n"/>
      <c r="M204" s="60" t="n"/>
      <c r="N204" s="60" t="n"/>
      <c r="O204" s="60" t="n"/>
      <c r="P204" s="61" t="n"/>
      <c r="Q204" s="61" t="n"/>
      <c r="R204" s="65">
        <f>IF(A204="","",TRIM(C204&amp;" "&amp;D204))</f>
        <v/>
      </c>
      <c r="S204" s="66">
        <f>IF(A204="","",IF(COUNTIFS('Häutungen'!$A$7:$A$1006,A204,'Häutungen'!$C$7:$C$1006,"&gt;0")=0,"",_xlfn.MAXIFS('Häutungen'!$C$7:$C$1006,'Häutungen'!$A$7:$A$1006,A204)))</f>
        <v/>
      </c>
      <c r="T204" s="67">
        <f>IF(A204="","",COUNTIFS('Häutungen'!$A$7:$A$1006,A204,'Häutungen'!$C$7:$C$1006,"&gt;0"))</f>
        <v/>
      </c>
      <c r="U204" s="68">
        <f>IF(A204="","",IF(T204&lt;2,"",IFERROR(AVERAGEIFS('Häutungen'!$J$7:$J$1006,'Häutungen'!$A$7:$A$1006,A204,'Häutungen'!$K$7:$K$1006,"&lt;3",'Häutungen'!$I$7:$I$1006,"&gt;0"),"")))</f>
        <v/>
      </c>
      <c r="V204" s="67">
        <f>IF(S204="","",TODAY()-S204)</f>
        <v/>
      </c>
      <c r="W204" s="66">
        <f>IF(OR(U204="",AND(F204="männlich",H204="Adult")),"",S204+ROUND(U204*TpM,0))</f>
        <v/>
      </c>
      <c r="X204" s="68">
        <f>IF(A204="","",IF(S204="",IF(I204="","",I204),IF(SUMIFS('Häutungen'!$D$7:$D$1006,'Häutungen'!$A$7:$A$1006,A204,'Häutungen'!$C$7:$C$1006,S204)&gt;0,SUMIFS('Häutungen'!$D$7:$D$1006,'Häutungen'!$A$7:$A$1006,A204,'Häutungen'!$C$7:$C$1006,S204),IF(I204="","",I204))))</f>
        <v/>
      </c>
      <c r="Y204" s="66">
        <f>IF(A204="","",IF(COUNTIFS('Fütterung'!$A$7:$A$2006,A204,'Fütterung'!$E$7:$E$2006,"Ja")=0,"",_xlfn.MAXIFS('Fütterung'!$C$7:$C$2006,'Fütterung'!$A$7:$A$2006,A204,'Fütterung'!$E$7:$E$2006,"Ja")))</f>
        <v/>
      </c>
      <c r="Z204" s="67">
        <f>IF(Y204="","",TODAY()-Y204)</f>
        <v/>
      </c>
      <c r="AA204" s="65">
        <f>IF(A204="","",IF(AND(F204="männlich",H204="Adult"),"Adultes Männchen",IF(AND(Z204&lt;&gt;"",N(Z204)&gt;=FutterGrenze),"Frisst nicht",IF(U204="","Zu wenig Daten",IF(V204&gt;U204*TpM*FaktorUeber,"Überfällig",IF(V204&gt;U204*TpM*FaktorBald,"Fällig","Im Plan"))))))</f>
        <v/>
      </c>
      <c r="AB204" s="69">
        <f>IF(AND(AC204=1,W204&lt;&gt;""),N(W204)+ROW()/100000,"")</f>
        <v/>
      </c>
      <c r="AC204" s="69">
        <f>IF(A204="","",IF(SUBTOTAL(103,A204)=1,1,0))</f>
        <v/>
      </c>
    </row>
    <row r="205" ht="20" customHeight="1">
      <c r="A205" s="60" t="n"/>
      <c r="B205" s="61" t="n"/>
      <c r="C205" s="61" t="n"/>
      <c r="D205" s="61" t="n"/>
      <c r="E205" s="60" t="n"/>
      <c r="F205" s="60" t="n"/>
      <c r="G205" s="60" t="n"/>
      <c r="H205" s="60" t="n"/>
      <c r="I205" s="62" t="n"/>
      <c r="J205" s="63" t="n"/>
      <c r="K205" s="61" t="n"/>
      <c r="L205" s="64" t="n"/>
      <c r="M205" s="60" t="n"/>
      <c r="N205" s="60" t="n"/>
      <c r="O205" s="60" t="n"/>
      <c r="P205" s="61" t="n"/>
      <c r="Q205" s="61" t="n"/>
      <c r="R205" s="65">
        <f>IF(A205="","",TRIM(C205&amp;" "&amp;D205))</f>
        <v/>
      </c>
      <c r="S205" s="66">
        <f>IF(A205="","",IF(COUNTIFS('Häutungen'!$A$7:$A$1006,A205,'Häutungen'!$C$7:$C$1006,"&gt;0")=0,"",_xlfn.MAXIFS('Häutungen'!$C$7:$C$1006,'Häutungen'!$A$7:$A$1006,A205)))</f>
        <v/>
      </c>
      <c r="T205" s="67">
        <f>IF(A205="","",COUNTIFS('Häutungen'!$A$7:$A$1006,A205,'Häutungen'!$C$7:$C$1006,"&gt;0"))</f>
        <v/>
      </c>
      <c r="U205" s="68">
        <f>IF(A205="","",IF(T205&lt;2,"",IFERROR(AVERAGEIFS('Häutungen'!$J$7:$J$1006,'Häutungen'!$A$7:$A$1006,A205,'Häutungen'!$K$7:$K$1006,"&lt;3",'Häutungen'!$I$7:$I$1006,"&gt;0"),"")))</f>
        <v/>
      </c>
      <c r="V205" s="67">
        <f>IF(S205="","",TODAY()-S205)</f>
        <v/>
      </c>
      <c r="W205" s="66">
        <f>IF(OR(U205="",AND(F205="männlich",H205="Adult")),"",S205+ROUND(U205*TpM,0))</f>
        <v/>
      </c>
      <c r="X205" s="68">
        <f>IF(A205="","",IF(S205="",IF(I205="","",I205),IF(SUMIFS('Häutungen'!$D$7:$D$1006,'Häutungen'!$A$7:$A$1006,A205,'Häutungen'!$C$7:$C$1006,S205)&gt;0,SUMIFS('Häutungen'!$D$7:$D$1006,'Häutungen'!$A$7:$A$1006,A205,'Häutungen'!$C$7:$C$1006,S205),IF(I205="","",I205))))</f>
        <v/>
      </c>
      <c r="Y205" s="66">
        <f>IF(A205="","",IF(COUNTIFS('Fütterung'!$A$7:$A$2006,A205,'Fütterung'!$E$7:$E$2006,"Ja")=0,"",_xlfn.MAXIFS('Fütterung'!$C$7:$C$2006,'Fütterung'!$A$7:$A$2006,A205,'Fütterung'!$E$7:$E$2006,"Ja")))</f>
        <v/>
      </c>
      <c r="Z205" s="67">
        <f>IF(Y205="","",TODAY()-Y205)</f>
        <v/>
      </c>
      <c r="AA205" s="65">
        <f>IF(A205="","",IF(AND(F205="männlich",H205="Adult"),"Adultes Männchen",IF(AND(Z205&lt;&gt;"",N(Z205)&gt;=FutterGrenze),"Frisst nicht",IF(U205="","Zu wenig Daten",IF(V205&gt;U205*TpM*FaktorUeber,"Überfällig",IF(V205&gt;U205*TpM*FaktorBald,"Fällig","Im Plan"))))))</f>
        <v/>
      </c>
      <c r="AB205" s="69">
        <f>IF(AND(AC205=1,W205&lt;&gt;""),N(W205)+ROW()/100000,"")</f>
        <v/>
      </c>
      <c r="AC205" s="69">
        <f>IF(A205="","",IF(SUBTOTAL(103,A205)=1,1,0))</f>
        <v/>
      </c>
    </row>
    <row r="206" ht="20" customHeight="1">
      <c r="A206" s="60" t="n"/>
      <c r="B206" s="61" t="n"/>
      <c r="C206" s="61" t="n"/>
      <c r="D206" s="61" t="n"/>
      <c r="E206" s="60" t="n"/>
      <c r="F206" s="60" t="n"/>
      <c r="G206" s="60" t="n"/>
      <c r="H206" s="60" t="n"/>
      <c r="I206" s="62" t="n"/>
      <c r="J206" s="63" t="n"/>
      <c r="K206" s="61" t="n"/>
      <c r="L206" s="64" t="n"/>
      <c r="M206" s="60" t="n"/>
      <c r="N206" s="60" t="n"/>
      <c r="O206" s="60" t="n"/>
      <c r="P206" s="61" t="n"/>
      <c r="Q206" s="61" t="n"/>
      <c r="R206" s="65">
        <f>IF(A206="","",TRIM(C206&amp;" "&amp;D206))</f>
        <v/>
      </c>
      <c r="S206" s="66">
        <f>IF(A206="","",IF(COUNTIFS('Häutungen'!$A$7:$A$1006,A206,'Häutungen'!$C$7:$C$1006,"&gt;0")=0,"",_xlfn.MAXIFS('Häutungen'!$C$7:$C$1006,'Häutungen'!$A$7:$A$1006,A206)))</f>
        <v/>
      </c>
      <c r="T206" s="67">
        <f>IF(A206="","",COUNTIFS('Häutungen'!$A$7:$A$1006,A206,'Häutungen'!$C$7:$C$1006,"&gt;0"))</f>
        <v/>
      </c>
      <c r="U206" s="68">
        <f>IF(A206="","",IF(T206&lt;2,"",IFERROR(AVERAGEIFS('Häutungen'!$J$7:$J$1006,'Häutungen'!$A$7:$A$1006,A206,'Häutungen'!$K$7:$K$1006,"&lt;3",'Häutungen'!$I$7:$I$1006,"&gt;0"),"")))</f>
        <v/>
      </c>
      <c r="V206" s="67">
        <f>IF(S206="","",TODAY()-S206)</f>
        <v/>
      </c>
      <c r="W206" s="66">
        <f>IF(OR(U206="",AND(F206="männlich",H206="Adult")),"",S206+ROUND(U206*TpM,0))</f>
        <v/>
      </c>
      <c r="X206" s="68">
        <f>IF(A206="","",IF(S206="",IF(I206="","",I206),IF(SUMIFS('Häutungen'!$D$7:$D$1006,'Häutungen'!$A$7:$A$1006,A206,'Häutungen'!$C$7:$C$1006,S206)&gt;0,SUMIFS('Häutungen'!$D$7:$D$1006,'Häutungen'!$A$7:$A$1006,A206,'Häutungen'!$C$7:$C$1006,S206),IF(I206="","",I206))))</f>
        <v/>
      </c>
      <c r="Y206" s="66">
        <f>IF(A206="","",IF(COUNTIFS('Fütterung'!$A$7:$A$2006,A206,'Fütterung'!$E$7:$E$2006,"Ja")=0,"",_xlfn.MAXIFS('Fütterung'!$C$7:$C$2006,'Fütterung'!$A$7:$A$2006,A206,'Fütterung'!$E$7:$E$2006,"Ja")))</f>
        <v/>
      </c>
      <c r="Z206" s="67">
        <f>IF(Y206="","",TODAY()-Y206)</f>
        <v/>
      </c>
      <c r="AA206" s="65">
        <f>IF(A206="","",IF(AND(F206="männlich",H206="Adult"),"Adultes Männchen",IF(AND(Z206&lt;&gt;"",N(Z206)&gt;=FutterGrenze),"Frisst nicht",IF(U206="","Zu wenig Daten",IF(V206&gt;U206*TpM*FaktorUeber,"Überfällig",IF(V206&gt;U206*TpM*FaktorBald,"Fällig","Im Plan"))))))</f>
        <v/>
      </c>
      <c r="AB206" s="69">
        <f>IF(AND(AC206=1,W206&lt;&gt;""),N(W206)+ROW()/100000,"")</f>
        <v/>
      </c>
      <c r="AC206" s="69">
        <f>IF(A206="","",IF(SUBTOTAL(103,A206)=1,1,0))</f>
        <v/>
      </c>
    </row>
    <row r="207" ht="20" customHeight="1">
      <c r="A207" s="60" t="n"/>
      <c r="B207" s="61" t="n"/>
      <c r="C207" s="61" t="n"/>
      <c r="D207" s="61" t="n"/>
      <c r="E207" s="60" t="n"/>
      <c r="F207" s="60" t="n"/>
      <c r="G207" s="60" t="n"/>
      <c r="H207" s="60" t="n"/>
      <c r="I207" s="62" t="n"/>
      <c r="J207" s="63" t="n"/>
      <c r="K207" s="61" t="n"/>
      <c r="L207" s="64" t="n"/>
      <c r="M207" s="60" t="n"/>
      <c r="N207" s="60" t="n"/>
      <c r="O207" s="60" t="n"/>
      <c r="P207" s="61" t="n"/>
      <c r="Q207" s="61" t="n"/>
      <c r="R207" s="65">
        <f>IF(A207="","",TRIM(C207&amp;" "&amp;D207))</f>
        <v/>
      </c>
      <c r="S207" s="66">
        <f>IF(A207="","",IF(COUNTIFS('Häutungen'!$A$7:$A$1006,A207,'Häutungen'!$C$7:$C$1006,"&gt;0")=0,"",_xlfn.MAXIFS('Häutungen'!$C$7:$C$1006,'Häutungen'!$A$7:$A$1006,A207)))</f>
        <v/>
      </c>
      <c r="T207" s="67">
        <f>IF(A207="","",COUNTIFS('Häutungen'!$A$7:$A$1006,A207,'Häutungen'!$C$7:$C$1006,"&gt;0"))</f>
        <v/>
      </c>
      <c r="U207" s="68">
        <f>IF(A207="","",IF(T207&lt;2,"",IFERROR(AVERAGEIFS('Häutungen'!$J$7:$J$1006,'Häutungen'!$A$7:$A$1006,A207,'Häutungen'!$K$7:$K$1006,"&lt;3",'Häutungen'!$I$7:$I$1006,"&gt;0"),"")))</f>
        <v/>
      </c>
      <c r="V207" s="67">
        <f>IF(S207="","",TODAY()-S207)</f>
        <v/>
      </c>
      <c r="W207" s="66">
        <f>IF(OR(U207="",AND(F207="männlich",H207="Adult")),"",S207+ROUND(U207*TpM,0))</f>
        <v/>
      </c>
      <c r="X207" s="68">
        <f>IF(A207="","",IF(S207="",IF(I207="","",I207),IF(SUMIFS('Häutungen'!$D$7:$D$1006,'Häutungen'!$A$7:$A$1006,A207,'Häutungen'!$C$7:$C$1006,S207)&gt;0,SUMIFS('Häutungen'!$D$7:$D$1006,'Häutungen'!$A$7:$A$1006,A207,'Häutungen'!$C$7:$C$1006,S207),IF(I207="","",I207))))</f>
        <v/>
      </c>
      <c r="Y207" s="66">
        <f>IF(A207="","",IF(COUNTIFS('Fütterung'!$A$7:$A$2006,A207,'Fütterung'!$E$7:$E$2006,"Ja")=0,"",_xlfn.MAXIFS('Fütterung'!$C$7:$C$2006,'Fütterung'!$A$7:$A$2006,A207,'Fütterung'!$E$7:$E$2006,"Ja")))</f>
        <v/>
      </c>
      <c r="Z207" s="67">
        <f>IF(Y207="","",TODAY()-Y207)</f>
        <v/>
      </c>
      <c r="AA207" s="65">
        <f>IF(A207="","",IF(AND(F207="männlich",H207="Adult"),"Adultes Männchen",IF(AND(Z207&lt;&gt;"",N(Z207)&gt;=FutterGrenze),"Frisst nicht",IF(U207="","Zu wenig Daten",IF(V207&gt;U207*TpM*FaktorUeber,"Überfällig",IF(V207&gt;U207*TpM*FaktorBald,"Fällig","Im Plan"))))))</f>
        <v/>
      </c>
      <c r="AB207" s="69">
        <f>IF(AND(AC207=1,W207&lt;&gt;""),N(W207)+ROW()/100000,"")</f>
        <v/>
      </c>
      <c r="AC207" s="69">
        <f>IF(A207="","",IF(SUBTOTAL(103,A207)=1,1,0))</f>
        <v/>
      </c>
    </row>
    <row r="208" ht="20" customHeight="1">
      <c r="A208" s="60" t="n"/>
      <c r="B208" s="61" t="n"/>
      <c r="C208" s="61" t="n"/>
      <c r="D208" s="61" t="n"/>
      <c r="E208" s="60" t="n"/>
      <c r="F208" s="60" t="n"/>
      <c r="G208" s="60" t="n"/>
      <c r="H208" s="60" t="n"/>
      <c r="I208" s="62" t="n"/>
      <c r="J208" s="63" t="n"/>
      <c r="K208" s="61" t="n"/>
      <c r="L208" s="64" t="n"/>
      <c r="M208" s="60" t="n"/>
      <c r="N208" s="60" t="n"/>
      <c r="O208" s="60" t="n"/>
      <c r="P208" s="61" t="n"/>
      <c r="Q208" s="61" t="n"/>
      <c r="R208" s="65">
        <f>IF(A208="","",TRIM(C208&amp;" "&amp;D208))</f>
        <v/>
      </c>
      <c r="S208" s="66">
        <f>IF(A208="","",IF(COUNTIFS('Häutungen'!$A$7:$A$1006,A208,'Häutungen'!$C$7:$C$1006,"&gt;0")=0,"",_xlfn.MAXIFS('Häutungen'!$C$7:$C$1006,'Häutungen'!$A$7:$A$1006,A208)))</f>
        <v/>
      </c>
      <c r="T208" s="67">
        <f>IF(A208="","",COUNTIFS('Häutungen'!$A$7:$A$1006,A208,'Häutungen'!$C$7:$C$1006,"&gt;0"))</f>
        <v/>
      </c>
      <c r="U208" s="68">
        <f>IF(A208="","",IF(T208&lt;2,"",IFERROR(AVERAGEIFS('Häutungen'!$J$7:$J$1006,'Häutungen'!$A$7:$A$1006,A208,'Häutungen'!$K$7:$K$1006,"&lt;3",'Häutungen'!$I$7:$I$1006,"&gt;0"),"")))</f>
        <v/>
      </c>
      <c r="V208" s="67">
        <f>IF(S208="","",TODAY()-S208)</f>
        <v/>
      </c>
      <c r="W208" s="66">
        <f>IF(OR(U208="",AND(F208="männlich",H208="Adult")),"",S208+ROUND(U208*TpM,0))</f>
        <v/>
      </c>
      <c r="X208" s="68">
        <f>IF(A208="","",IF(S208="",IF(I208="","",I208),IF(SUMIFS('Häutungen'!$D$7:$D$1006,'Häutungen'!$A$7:$A$1006,A208,'Häutungen'!$C$7:$C$1006,S208)&gt;0,SUMIFS('Häutungen'!$D$7:$D$1006,'Häutungen'!$A$7:$A$1006,A208,'Häutungen'!$C$7:$C$1006,S208),IF(I208="","",I208))))</f>
        <v/>
      </c>
      <c r="Y208" s="66">
        <f>IF(A208="","",IF(COUNTIFS('Fütterung'!$A$7:$A$2006,A208,'Fütterung'!$E$7:$E$2006,"Ja")=0,"",_xlfn.MAXIFS('Fütterung'!$C$7:$C$2006,'Fütterung'!$A$7:$A$2006,A208,'Fütterung'!$E$7:$E$2006,"Ja")))</f>
        <v/>
      </c>
      <c r="Z208" s="67">
        <f>IF(Y208="","",TODAY()-Y208)</f>
        <v/>
      </c>
      <c r="AA208" s="65">
        <f>IF(A208="","",IF(AND(F208="männlich",H208="Adult"),"Adultes Männchen",IF(AND(Z208&lt;&gt;"",N(Z208)&gt;=FutterGrenze),"Frisst nicht",IF(U208="","Zu wenig Daten",IF(V208&gt;U208*TpM*FaktorUeber,"Überfällig",IF(V208&gt;U208*TpM*FaktorBald,"Fällig","Im Plan"))))))</f>
        <v/>
      </c>
      <c r="AB208" s="69">
        <f>IF(AND(AC208=1,W208&lt;&gt;""),N(W208)+ROW()/100000,"")</f>
        <v/>
      </c>
      <c r="AC208" s="69">
        <f>IF(A208="","",IF(SUBTOTAL(103,A208)=1,1,0))</f>
        <v/>
      </c>
    </row>
    <row r="209" ht="20" customHeight="1">
      <c r="A209" s="60" t="n"/>
      <c r="B209" s="61" t="n"/>
      <c r="C209" s="61" t="n"/>
      <c r="D209" s="61" t="n"/>
      <c r="E209" s="60" t="n"/>
      <c r="F209" s="60" t="n"/>
      <c r="G209" s="60" t="n"/>
      <c r="H209" s="60" t="n"/>
      <c r="I209" s="62" t="n"/>
      <c r="J209" s="63" t="n"/>
      <c r="K209" s="61" t="n"/>
      <c r="L209" s="64" t="n"/>
      <c r="M209" s="60" t="n"/>
      <c r="N209" s="60" t="n"/>
      <c r="O209" s="60" t="n"/>
      <c r="P209" s="61" t="n"/>
      <c r="Q209" s="61" t="n"/>
      <c r="R209" s="65">
        <f>IF(A209="","",TRIM(C209&amp;" "&amp;D209))</f>
        <v/>
      </c>
      <c r="S209" s="66">
        <f>IF(A209="","",IF(COUNTIFS('Häutungen'!$A$7:$A$1006,A209,'Häutungen'!$C$7:$C$1006,"&gt;0")=0,"",_xlfn.MAXIFS('Häutungen'!$C$7:$C$1006,'Häutungen'!$A$7:$A$1006,A209)))</f>
        <v/>
      </c>
      <c r="T209" s="67">
        <f>IF(A209="","",COUNTIFS('Häutungen'!$A$7:$A$1006,A209,'Häutungen'!$C$7:$C$1006,"&gt;0"))</f>
        <v/>
      </c>
      <c r="U209" s="68">
        <f>IF(A209="","",IF(T209&lt;2,"",IFERROR(AVERAGEIFS('Häutungen'!$J$7:$J$1006,'Häutungen'!$A$7:$A$1006,A209,'Häutungen'!$K$7:$K$1006,"&lt;3",'Häutungen'!$I$7:$I$1006,"&gt;0"),"")))</f>
        <v/>
      </c>
      <c r="V209" s="67">
        <f>IF(S209="","",TODAY()-S209)</f>
        <v/>
      </c>
      <c r="W209" s="66">
        <f>IF(OR(U209="",AND(F209="männlich",H209="Adult")),"",S209+ROUND(U209*TpM,0))</f>
        <v/>
      </c>
      <c r="X209" s="68">
        <f>IF(A209="","",IF(S209="",IF(I209="","",I209),IF(SUMIFS('Häutungen'!$D$7:$D$1006,'Häutungen'!$A$7:$A$1006,A209,'Häutungen'!$C$7:$C$1006,S209)&gt;0,SUMIFS('Häutungen'!$D$7:$D$1006,'Häutungen'!$A$7:$A$1006,A209,'Häutungen'!$C$7:$C$1006,S209),IF(I209="","",I209))))</f>
        <v/>
      </c>
      <c r="Y209" s="66">
        <f>IF(A209="","",IF(COUNTIFS('Fütterung'!$A$7:$A$2006,A209,'Fütterung'!$E$7:$E$2006,"Ja")=0,"",_xlfn.MAXIFS('Fütterung'!$C$7:$C$2006,'Fütterung'!$A$7:$A$2006,A209,'Fütterung'!$E$7:$E$2006,"Ja")))</f>
        <v/>
      </c>
      <c r="Z209" s="67">
        <f>IF(Y209="","",TODAY()-Y209)</f>
        <v/>
      </c>
      <c r="AA209" s="65">
        <f>IF(A209="","",IF(AND(F209="männlich",H209="Adult"),"Adultes Männchen",IF(AND(Z209&lt;&gt;"",N(Z209)&gt;=FutterGrenze),"Frisst nicht",IF(U209="","Zu wenig Daten",IF(V209&gt;U209*TpM*FaktorUeber,"Überfällig",IF(V209&gt;U209*TpM*FaktorBald,"Fällig","Im Plan"))))))</f>
        <v/>
      </c>
      <c r="AB209" s="69">
        <f>IF(AND(AC209=1,W209&lt;&gt;""),N(W209)+ROW()/100000,"")</f>
        <v/>
      </c>
      <c r="AC209" s="69">
        <f>IF(A209="","",IF(SUBTOTAL(103,A209)=1,1,0))</f>
        <v/>
      </c>
    </row>
    <row r="210" ht="20" customHeight="1">
      <c r="A210" s="60" t="n"/>
      <c r="B210" s="61" t="n"/>
      <c r="C210" s="61" t="n"/>
      <c r="D210" s="61" t="n"/>
      <c r="E210" s="60" t="n"/>
      <c r="F210" s="60" t="n"/>
      <c r="G210" s="60" t="n"/>
      <c r="H210" s="60" t="n"/>
      <c r="I210" s="62" t="n"/>
      <c r="J210" s="63" t="n"/>
      <c r="K210" s="61" t="n"/>
      <c r="L210" s="64" t="n"/>
      <c r="M210" s="60" t="n"/>
      <c r="N210" s="60" t="n"/>
      <c r="O210" s="60" t="n"/>
      <c r="P210" s="61" t="n"/>
      <c r="Q210" s="61" t="n"/>
      <c r="R210" s="65">
        <f>IF(A210="","",TRIM(C210&amp;" "&amp;D210))</f>
        <v/>
      </c>
      <c r="S210" s="66">
        <f>IF(A210="","",IF(COUNTIFS('Häutungen'!$A$7:$A$1006,A210,'Häutungen'!$C$7:$C$1006,"&gt;0")=0,"",_xlfn.MAXIFS('Häutungen'!$C$7:$C$1006,'Häutungen'!$A$7:$A$1006,A210)))</f>
        <v/>
      </c>
      <c r="T210" s="67">
        <f>IF(A210="","",COUNTIFS('Häutungen'!$A$7:$A$1006,A210,'Häutungen'!$C$7:$C$1006,"&gt;0"))</f>
        <v/>
      </c>
      <c r="U210" s="68">
        <f>IF(A210="","",IF(T210&lt;2,"",IFERROR(AVERAGEIFS('Häutungen'!$J$7:$J$1006,'Häutungen'!$A$7:$A$1006,A210,'Häutungen'!$K$7:$K$1006,"&lt;3",'Häutungen'!$I$7:$I$1006,"&gt;0"),"")))</f>
        <v/>
      </c>
      <c r="V210" s="67">
        <f>IF(S210="","",TODAY()-S210)</f>
        <v/>
      </c>
      <c r="W210" s="66">
        <f>IF(OR(U210="",AND(F210="männlich",H210="Adult")),"",S210+ROUND(U210*TpM,0))</f>
        <v/>
      </c>
      <c r="X210" s="68">
        <f>IF(A210="","",IF(S210="",IF(I210="","",I210),IF(SUMIFS('Häutungen'!$D$7:$D$1006,'Häutungen'!$A$7:$A$1006,A210,'Häutungen'!$C$7:$C$1006,S210)&gt;0,SUMIFS('Häutungen'!$D$7:$D$1006,'Häutungen'!$A$7:$A$1006,A210,'Häutungen'!$C$7:$C$1006,S210),IF(I210="","",I210))))</f>
        <v/>
      </c>
      <c r="Y210" s="66">
        <f>IF(A210="","",IF(COUNTIFS('Fütterung'!$A$7:$A$2006,A210,'Fütterung'!$E$7:$E$2006,"Ja")=0,"",_xlfn.MAXIFS('Fütterung'!$C$7:$C$2006,'Fütterung'!$A$7:$A$2006,A210,'Fütterung'!$E$7:$E$2006,"Ja")))</f>
        <v/>
      </c>
      <c r="Z210" s="67">
        <f>IF(Y210="","",TODAY()-Y210)</f>
        <v/>
      </c>
      <c r="AA210" s="65">
        <f>IF(A210="","",IF(AND(F210="männlich",H210="Adult"),"Adultes Männchen",IF(AND(Z210&lt;&gt;"",N(Z210)&gt;=FutterGrenze),"Frisst nicht",IF(U210="","Zu wenig Daten",IF(V210&gt;U210*TpM*FaktorUeber,"Überfällig",IF(V210&gt;U210*TpM*FaktorBald,"Fällig","Im Plan"))))))</f>
        <v/>
      </c>
      <c r="AB210" s="69">
        <f>IF(AND(AC210=1,W210&lt;&gt;""),N(W210)+ROW()/100000,"")</f>
        <v/>
      </c>
      <c r="AC210" s="69">
        <f>IF(A210="","",IF(SUBTOTAL(103,A210)=1,1,0))</f>
        <v/>
      </c>
    </row>
    <row r="211" ht="20" customHeight="1">
      <c r="A211" s="60" t="n"/>
      <c r="B211" s="61" t="n"/>
      <c r="C211" s="61" t="n"/>
      <c r="D211" s="61" t="n"/>
      <c r="E211" s="60" t="n"/>
      <c r="F211" s="60" t="n"/>
      <c r="G211" s="60" t="n"/>
      <c r="H211" s="60" t="n"/>
      <c r="I211" s="62" t="n"/>
      <c r="J211" s="63" t="n"/>
      <c r="K211" s="61" t="n"/>
      <c r="L211" s="64" t="n"/>
      <c r="M211" s="60" t="n"/>
      <c r="N211" s="60" t="n"/>
      <c r="O211" s="60" t="n"/>
      <c r="P211" s="61" t="n"/>
      <c r="Q211" s="61" t="n"/>
      <c r="R211" s="65">
        <f>IF(A211="","",TRIM(C211&amp;" "&amp;D211))</f>
        <v/>
      </c>
      <c r="S211" s="66">
        <f>IF(A211="","",IF(COUNTIFS('Häutungen'!$A$7:$A$1006,A211,'Häutungen'!$C$7:$C$1006,"&gt;0")=0,"",_xlfn.MAXIFS('Häutungen'!$C$7:$C$1006,'Häutungen'!$A$7:$A$1006,A211)))</f>
        <v/>
      </c>
      <c r="T211" s="67">
        <f>IF(A211="","",COUNTIFS('Häutungen'!$A$7:$A$1006,A211,'Häutungen'!$C$7:$C$1006,"&gt;0"))</f>
        <v/>
      </c>
      <c r="U211" s="68">
        <f>IF(A211="","",IF(T211&lt;2,"",IFERROR(AVERAGEIFS('Häutungen'!$J$7:$J$1006,'Häutungen'!$A$7:$A$1006,A211,'Häutungen'!$K$7:$K$1006,"&lt;3",'Häutungen'!$I$7:$I$1006,"&gt;0"),"")))</f>
        <v/>
      </c>
      <c r="V211" s="67">
        <f>IF(S211="","",TODAY()-S211)</f>
        <v/>
      </c>
      <c r="W211" s="66">
        <f>IF(OR(U211="",AND(F211="männlich",H211="Adult")),"",S211+ROUND(U211*TpM,0))</f>
        <v/>
      </c>
      <c r="X211" s="68">
        <f>IF(A211="","",IF(S211="",IF(I211="","",I211),IF(SUMIFS('Häutungen'!$D$7:$D$1006,'Häutungen'!$A$7:$A$1006,A211,'Häutungen'!$C$7:$C$1006,S211)&gt;0,SUMIFS('Häutungen'!$D$7:$D$1006,'Häutungen'!$A$7:$A$1006,A211,'Häutungen'!$C$7:$C$1006,S211),IF(I211="","",I211))))</f>
        <v/>
      </c>
      <c r="Y211" s="66">
        <f>IF(A211="","",IF(COUNTIFS('Fütterung'!$A$7:$A$2006,A211,'Fütterung'!$E$7:$E$2006,"Ja")=0,"",_xlfn.MAXIFS('Fütterung'!$C$7:$C$2006,'Fütterung'!$A$7:$A$2006,A211,'Fütterung'!$E$7:$E$2006,"Ja")))</f>
        <v/>
      </c>
      <c r="Z211" s="67">
        <f>IF(Y211="","",TODAY()-Y211)</f>
        <v/>
      </c>
      <c r="AA211" s="65">
        <f>IF(A211="","",IF(AND(F211="männlich",H211="Adult"),"Adultes Männchen",IF(AND(Z211&lt;&gt;"",N(Z211)&gt;=FutterGrenze),"Frisst nicht",IF(U211="","Zu wenig Daten",IF(V211&gt;U211*TpM*FaktorUeber,"Überfällig",IF(V211&gt;U211*TpM*FaktorBald,"Fällig","Im Plan"))))))</f>
        <v/>
      </c>
      <c r="AB211" s="69">
        <f>IF(AND(AC211=1,W211&lt;&gt;""),N(W211)+ROW()/100000,"")</f>
        <v/>
      </c>
      <c r="AC211" s="69">
        <f>IF(A211="","",IF(SUBTOTAL(103,A211)=1,1,0))</f>
        <v/>
      </c>
    </row>
    <row r="212" ht="20" customHeight="1">
      <c r="A212" s="60" t="n"/>
      <c r="B212" s="61" t="n"/>
      <c r="C212" s="61" t="n"/>
      <c r="D212" s="61" t="n"/>
      <c r="E212" s="60" t="n"/>
      <c r="F212" s="60" t="n"/>
      <c r="G212" s="60" t="n"/>
      <c r="H212" s="60" t="n"/>
      <c r="I212" s="62" t="n"/>
      <c r="J212" s="63" t="n"/>
      <c r="K212" s="61" t="n"/>
      <c r="L212" s="64" t="n"/>
      <c r="M212" s="60" t="n"/>
      <c r="N212" s="60" t="n"/>
      <c r="O212" s="60" t="n"/>
      <c r="P212" s="61" t="n"/>
      <c r="Q212" s="61" t="n"/>
      <c r="R212" s="65">
        <f>IF(A212="","",TRIM(C212&amp;" "&amp;D212))</f>
        <v/>
      </c>
      <c r="S212" s="66">
        <f>IF(A212="","",IF(COUNTIFS('Häutungen'!$A$7:$A$1006,A212,'Häutungen'!$C$7:$C$1006,"&gt;0")=0,"",_xlfn.MAXIFS('Häutungen'!$C$7:$C$1006,'Häutungen'!$A$7:$A$1006,A212)))</f>
        <v/>
      </c>
      <c r="T212" s="67">
        <f>IF(A212="","",COUNTIFS('Häutungen'!$A$7:$A$1006,A212,'Häutungen'!$C$7:$C$1006,"&gt;0"))</f>
        <v/>
      </c>
      <c r="U212" s="68">
        <f>IF(A212="","",IF(T212&lt;2,"",IFERROR(AVERAGEIFS('Häutungen'!$J$7:$J$1006,'Häutungen'!$A$7:$A$1006,A212,'Häutungen'!$K$7:$K$1006,"&lt;3",'Häutungen'!$I$7:$I$1006,"&gt;0"),"")))</f>
        <v/>
      </c>
      <c r="V212" s="67">
        <f>IF(S212="","",TODAY()-S212)</f>
        <v/>
      </c>
      <c r="W212" s="66">
        <f>IF(OR(U212="",AND(F212="männlich",H212="Adult")),"",S212+ROUND(U212*TpM,0))</f>
        <v/>
      </c>
      <c r="X212" s="68">
        <f>IF(A212="","",IF(S212="",IF(I212="","",I212),IF(SUMIFS('Häutungen'!$D$7:$D$1006,'Häutungen'!$A$7:$A$1006,A212,'Häutungen'!$C$7:$C$1006,S212)&gt;0,SUMIFS('Häutungen'!$D$7:$D$1006,'Häutungen'!$A$7:$A$1006,A212,'Häutungen'!$C$7:$C$1006,S212),IF(I212="","",I212))))</f>
        <v/>
      </c>
      <c r="Y212" s="66">
        <f>IF(A212="","",IF(COUNTIFS('Fütterung'!$A$7:$A$2006,A212,'Fütterung'!$E$7:$E$2006,"Ja")=0,"",_xlfn.MAXIFS('Fütterung'!$C$7:$C$2006,'Fütterung'!$A$7:$A$2006,A212,'Fütterung'!$E$7:$E$2006,"Ja")))</f>
        <v/>
      </c>
      <c r="Z212" s="67">
        <f>IF(Y212="","",TODAY()-Y212)</f>
        <v/>
      </c>
      <c r="AA212" s="65">
        <f>IF(A212="","",IF(AND(F212="männlich",H212="Adult"),"Adultes Männchen",IF(AND(Z212&lt;&gt;"",N(Z212)&gt;=FutterGrenze),"Frisst nicht",IF(U212="","Zu wenig Daten",IF(V212&gt;U212*TpM*FaktorUeber,"Überfällig",IF(V212&gt;U212*TpM*FaktorBald,"Fällig","Im Plan"))))))</f>
        <v/>
      </c>
      <c r="AB212" s="69">
        <f>IF(AND(AC212=1,W212&lt;&gt;""),N(W212)+ROW()/100000,"")</f>
        <v/>
      </c>
      <c r="AC212" s="69">
        <f>IF(A212="","",IF(SUBTOTAL(103,A212)=1,1,0))</f>
        <v/>
      </c>
    </row>
    <row r="213" ht="20" customHeight="1">
      <c r="A213" s="60" t="n"/>
      <c r="B213" s="61" t="n"/>
      <c r="C213" s="61" t="n"/>
      <c r="D213" s="61" t="n"/>
      <c r="E213" s="60" t="n"/>
      <c r="F213" s="60" t="n"/>
      <c r="G213" s="60" t="n"/>
      <c r="H213" s="60" t="n"/>
      <c r="I213" s="62" t="n"/>
      <c r="J213" s="63" t="n"/>
      <c r="K213" s="61" t="n"/>
      <c r="L213" s="64" t="n"/>
      <c r="M213" s="60" t="n"/>
      <c r="N213" s="60" t="n"/>
      <c r="O213" s="60" t="n"/>
      <c r="P213" s="61" t="n"/>
      <c r="Q213" s="61" t="n"/>
      <c r="R213" s="65">
        <f>IF(A213="","",TRIM(C213&amp;" "&amp;D213))</f>
        <v/>
      </c>
      <c r="S213" s="66">
        <f>IF(A213="","",IF(COUNTIFS('Häutungen'!$A$7:$A$1006,A213,'Häutungen'!$C$7:$C$1006,"&gt;0")=0,"",_xlfn.MAXIFS('Häutungen'!$C$7:$C$1006,'Häutungen'!$A$7:$A$1006,A213)))</f>
        <v/>
      </c>
      <c r="T213" s="67">
        <f>IF(A213="","",COUNTIFS('Häutungen'!$A$7:$A$1006,A213,'Häutungen'!$C$7:$C$1006,"&gt;0"))</f>
        <v/>
      </c>
      <c r="U213" s="68">
        <f>IF(A213="","",IF(T213&lt;2,"",IFERROR(AVERAGEIFS('Häutungen'!$J$7:$J$1006,'Häutungen'!$A$7:$A$1006,A213,'Häutungen'!$K$7:$K$1006,"&lt;3",'Häutungen'!$I$7:$I$1006,"&gt;0"),"")))</f>
        <v/>
      </c>
      <c r="V213" s="67">
        <f>IF(S213="","",TODAY()-S213)</f>
        <v/>
      </c>
      <c r="W213" s="66">
        <f>IF(OR(U213="",AND(F213="männlich",H213="Adult")),"",S213+ROUND(U213*TpM,0))</f>
        <v/>
      </c>
      <c r="X213" s="68">
        <f>IF(A213="","",IF(S213="",IF(I213="","",I213),IF(SUMIFS('Häutungen'!$D$7:$D$1006,'Häutungen'!$A$7:$A$1006,A213,'Häutungen'!$C$7:$C$1006,S213)&gt;0,SUMIFS('Häutungen'!$D$7:$D$1006,'Häutungen'!$A$7:$A$1006,A213,'Häutungen'!$C$7:$C$1006,S213),IF(I213="","",I213))))</f>
        <v/>
      </c>
      <c r="Y213" s="66">
        <f>IF(A213="","",IF(COUNTIFS('Fütterung'!$A$7:$A$2006,A213,'Fütterung'!$E$7:$E$2006,"Ja")=0,"",_xlfn.MAXIFS('Fütterung'!$C$7:$C$2006,'Fütterung'!$A$7:$A$2006,A213,'Fütterung'!$E$7:$E$2006,"Ja")))</f>
        <v/>
      </c>
      <c r="Z213" s="67">
        <f>IF(Y213="","",TODAY()-Y213)</f>
        <v/>
      </c>
      <c r="AA213" s="65">
        <f>IF(A213="","",IF(AND(F213="männlich",H213="Adult"),"Adultes Männchen",IF(AND(Z213&lt;&gt;"",N(Z213)&gt;=FutterGrenze),"Frisst nicht",IF(U213="","Zu wenig Daten",IF(V213&gt;U213*TpM*FaktorUeber,"Überfällig",IF(V213&gt;U213*TpM*FaktorBald,"Fällig","Im Plan"))))))</f>
        <v/>
      </c>
      <c r="AB213" s="69">
        <f>IF(AND(AC213=1,W213&lt;&gt;""),N(W213)+ROW()/100000,"")</f>
        <v/>
      </c>
      <c r="AC213" s="69">
        <f>IF(A213="","",IF(SUBTOTAL(103,A213)=1,1,0))</f>
        <v/>
      </c>
    </row>
  </sheetData>
  <mergeCells count="29">
    <mergeCell ref="O7:P7"/>
    <mergeCell ref="C6:D6"/>
    <mergeCell ref="I6:J6"/>
    <mergeCell ref="O6:P6"/>
    <mergeCell ref="L8:N8"/>
    <mergeCell ref="G8:H8"/>
    <mergeCell ref="E8:F8"/>
    <mergeCell ref="G7:H7"/>
    <mergeCell ref="I7:J7"/>
    <mergeCell ref="L9:N9"/>
    <mergeCell ref="A6:B8"/>
    <mergeCell ref="G6:H6"/>
    <mergeCell ref="C5:F5"/>
    <mergeCell ref="L6:N6"/>
    <mergeCell ref="K5:N5"/>
    <mergeCell ref="O9:R9"/>
    <mergeCell ref="E6:F6"/>
    <mergeCell ref="A5:B5"/>
    <mergeCell ref="O5:R5"/>
    <mergeCell ref="I8:J8"/>
    <mergeCell ref="C8:D8"/>
    <mergeCell ref="L7:N7"/>
    <mergeCell ref="O8:P8"/>
    <mergeCell ref="C7:D7"/>
    <mergeCell ref="E7:F7"/>
    <mergeCell ref="A9:B9"/>
    <mergeCell ref="G9:H9"/>
    <mergeCell ref="G5:J5"/>
    <mergeCell ref="I9:J9"/>
  </mergeCells>
  <conditionalFormatting sqref="AA14:AA213">
    <cfRule type="expression" priority="1" dxfId="0">
      <formula>$AA14="Überfällig"</formula>
    </cfRule>
    <cfRule type="expression" priority="2" dxfId="0">
      <formula>$AA14="Frisst nicht"</formula>
    </cfRule>
    <cfRule type="expression" priority="3" dxfId="1">
      <formula>$AA14="Fällig"</formula>
    </cfRule>
    <cfRule type="expression" priority="4" dxfId="2">
      <formula>$AA14="Im Plan"</formula>
    </cfRule>
    <cfRule type="expression" priority="5" dxfId="3">
      <formula>$AA14="Adultes Männchen"</formula>
    </cfRule>
    <cfRule type="expression" priority="6" dxfId="4">
      <formula>$AA14="Zu wenig Daten"</formula>
    </cfRule>
  </conditionalFormatting>
  <conditionalFormatting sqref="U14:U213">
    <cfRule type="dataBar" priority="7">
      <dataBar>
        <cfvo type="num" val="0"/>
        <cfvo type="max"/>
        <color rgb="009DB38A"/>
      </dataBar>
    </cfRule>
  </conditionalFormatting>
  <conditionalFormatting sqref="E6:E8">
    <cfRule type="dataBar" priority="8">
      <dataBar>
        <cfvo type="num" val="0"/>
        <cfvo type="formula" val="MAX(1,$A$6)"/>
        <color rgb="00A9BF95"/>
      </dataBar>
    </cfRule>
  </conditionalFormatting>
  <conditionalFormatting sqref="I6:I9">
    <cfRule type="dataBar" priority="9">
      <dataBar>
        <cfvo type="num" val="0"/>
        <cfvo type="formula" val="MAX(1,$A$6)"/>
        <color rgb="00D9BE8A"/>
      </dataBar>
    </cfRule>
  </conditionalFormatting>
  <conditionalFormatting sqref="K6:N6">
    <cfRule type="expression" priority="10" dxfId="5">
      <formula>$K$6=0</formula>
    </cfRule>
  </conditionalFormatting>
  <conditionalFormatting sqref="K7:N7">
    <cfRule type="expression" priority="11" dxfId="5">
      <formula>$K$7=0</formula>
    </cfRule>
  </conditionalFormatting>
  <conditionalFormatting sqref="K8:N8">
    <cfRule type="expression" priority="12" dxfId="5">
      <formula>$K$8=0</formula>
    </cfRule>
  </conditionalFormatting>
  <conditionalFormatting sqref="K9:N9">
    <cfRule type="expression" priority="13" dxfId="5">
      <formula>$K$9=0</formula>
    </cfRule>
  </conditionalFormatting>
  <conditionalFormatting sqref="Q6:Q8">
    <cfRule type="expression" priority="14" dxfId="6">
      <formula>AND(ISNUMBER($Q6),$Q6&lt;0)</formula>
    </cfRule>
    <cfRule type="expression" priority="15" dxfId="7">
      <formula>AND(ISNUMBER($Q6),$Q6&gt;=0,$Q6&lt;=14)</formula>
    </cfRule>
  </conditionalFormatting>
  <dataValidations count="9">
    <dataValidation sqref="C14:C213" showDropDown="0" showInputMessage="0" showErrorMessage="1" allowBlank="1" error="Bitte einen Wert aus der Liste wählen (Liste im Blatt „Listen“ erweiterbar)." type="list" errorStyle="stop">
      <formula1>=lstGattung</formula1>
    </dataValidation>
    <dataValidation sqref="E14:E213" showDropDown="0" showInputMessage="0" showErrorMessage="1" allowBlank="1" error="Bitte einen Wert aus der Liste wählen (Liste im Blatt „Listen“ erweiterbar)." type="list" errorStyle="stop">
      <formula1>=lstLebensweise</formula1>
    </dataValidation>
    <dataValidation sqref="F14:F213" showDropDown="0" showInputMessage="0" showErrorMessage="1" allowBlank="1" error="Bitte einen Wert aus der Liste wählen (Liste im Blatt „Listen“ erweiterbar)." type="list" errorStyle="stop">
      <formula1>=lstGeschlecht</formula1>
    </dataValidation>
    <dataValidation sqref="G14:G213" showDropDown="0" showInputMessage="0" showErrorMessage="1" allowBlank="1" error="Bitte einen Wert aus der Liste wählen (Liste im Blatt „Listen“ erweiterbar)." type="list" errorStyle="stop">
      <formula1>=lstBestimmt</formula1>
    </dataValidation>
    <dataValidation sqref="H14:H213" showDropDown="0" showInputMessage="0" showErrorMessage="1" allowBlank="1" error="Bitte einen Wert aus der Liste wählen (Liste im Blatt „Listen“ erweiterbar)." type="list" errorStyle="stop">
      <formula1>=lstStand</formula1>
    </dataValidation>
    <dataValidation sqref="K14:K213" showDropDown="0" showInputMessage="0" showErrorMessage="0" allowBlank="1" error="Bitte einen Wert aus der Liste wählen (Liste im Blatt „Listen“ erweiterbar)." type="list" errorStyle="stop">
      <formula1>=lstQuelle</formula1>
    </dataValidation>
    <dataValidation sqref="M14:M213" showDropDown="0" showInputMessage="0" showErrorMessage="1" allowBlank="1" error="Bitte einen Wert aus der Liste wählen (Liste im Blatt „Listen“ erweiterbar)." type="list" errorStyle="stop">
      <formula1>=lstHerkunft</formula1>
    </dataValidation>
    <dataValidation sqref="N14:N213" showDropDown="0" showInputMessage="0" showErrorMessage="1" allowBlank="1" error="Bitte einen Wert aus der Liste wählen (Liste im Blatt „Listen“ erweiterbar)." type="list" errorStyle="stop">
      <formula1>=lstJaNeinUnklar</formula1>
    </dataValidation>
    <dataValidation sqref="O14:O213" showDropDown="0" showInputMessage="0" showErrorMessage="1" allowBlank="1" error="Bitte einen Wert aus der Liste wählen (Liste im Blatt „Listen“ erweiterbar)." type="list" errorStyle="stop">
      <formula1>=lstJaNein</formula1>
    </dataValidation>
  </dataValidations>
  <hyperlinks>
    <hyperlink xmlns:r="http://schemas.openxmlformats.org/officeDocument/2006/relationships" ref="R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tabColor rgb="004F6B3A"/>
    <outlinePr summaryBelow="1" summaryRight="1"/>
    <pageSetUpPr/>
  </sheetPr>
  <dimension ref="A1:R1006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3" customWidth="1" min="3" max="3"/>
    <col width="12" customWidth="1" min="4" max="4"/>
    <col width="12" customWidth="1" min="5" max="5"/>
    <col width="14" customWidth="1" min="6" max="6"/>
    <col width="32" customWidth="1" min="7" max="7"/>
    <col width="10" customWidth="1" min="8" max="8"/>
    <col width="11" customWidth="1" min="9" max="9"/>
    <col width="12" customWidth="1" min="10" max="10"/>
    <col hidden="1" width="6" customWidth="1" min="11" max="11"/>
    <col hidden="1" width="6" customWidth="1" min="12" max="12"/>
    <col hidden="1" width="6" customWidth="1" min="13" max="13"/>
    <col hidden="1" width="6" customWidth="1" min="14" max="14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2" t="inlineStr">
        <is>
          <t>VOGELSPINNEN BESTANDSBUCH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28" t="inlineStr">
        <is>
          <t>vogelspinner.net</t>
        </is>
      </c>
      <c r="K2" s="1" t="n"/>
      <c r="L2" s="1" t="n"/>
      <c r="M2" s="1" t="n"/>
      <c r="N2" s="1" t="n"/>
      <c r="O2" s="1" t="n"/>
      <c r="P2" s="1" t="n"/>
      <c r="Q2" s="1" t="n"/>
      <c r="R2" s="1" t="n"/>
    </row>
    <row r="3" ht="20" customHeight="1">
      <c r="A3" s="4" t="inlineStr">
        <is>
          <t>Eine Zeile pro Häutung, Reihenfolge egal. Nummer und Abstände rechnet die Datei.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29" t="inlineStr">
        <is>
          <t>Kostenlose Vorlage</t>
        </is>
      </c>
      <c r="K3" s="1" t="n"/>
      <c r="L3" s="1" t="n"/>
      <c r="M3" s="1" t="n"/>
      <c r="N3" s="1" t="n"/>
      <c r="O3" s="1" t="n"/>
      <c r="P3" s="1" t="n"/>
      <c r="Q3" s="1" t="n"/>
      <c r="R3" s="1" t="n"/>
    </row>
    <row r="4" ht="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70" t="inlineStr">
        <is>
          <t>DEINE EINGABEN</t>
        </is>
      </c>
      <c r="H5" s="71" t="inlineStr">
        <is>
          <t>AUTOMATISCH</t>
        </is>
      </c>
    </row>
    <row r="6" ht="36" customHeight="1">
      <c r="A6" s="57" t="inlineStr">
        <is>
          <t>Tier-ID</t>
        </is>
      </c>
      <c r="B6" s="58" t="inlineStr">
        <is>
          <t>Name</t>
        </is>
      </c>
      <c r="C6" s="57" t="inlineStr">
        <is>
          <t>Datum</t>
        </is>
      </c>
      <c r="D6" s="57" t="inlineStr">
        <is>
          <t>Größe danach (cm)</t>
        </is>
      </c>
      <c r="E6" s="57" t="inlineStr">
        <is>
          <t>Exuvie aufbewahrt</t>
        </is>
      </c>
      <c r="F6" s="57" t="inlineStr">
        <is>
          <t>Geschlecht laut Exuvie</t>
        </is>
      </c>
      <c r="G6" s="57" t="inlineStr">
        <is>
          <t>Notiz</t>
        </is>
      </c>
      <c r="H6" s="58" t="inlineStr">
        <is>
          <t>Häutung Nr.</t>
        </is>
      </c>
      <c r="I6" s="58" t="inlineStr">
        <is>
          <t>Abstand (Tage)</t>
        </is>
      </c>
      <c r="J6" s="58" t="inlineStr">
        <is>
          <t>Abstand (Monate)</t>
        </is>
      </c>
      <c r="K6" s="59" t="inlineStr">
        <is>
          <t>Nr. von hinten</t>
        </is>
      </c>
      <c r="L6" s="59" t="inlineStr">
        <is>
          <t>Schlüssel</t>
        </is>
      </c>
      <c r="M6" s="59" t="inlineStr">
        <is>
          <t>Filter aktiv</t>
        </is>
      </c>
      <c r="N6" s="59" t="inlineStr">
        <is>
          <t>Sortierschlüssel</t>
        </is>
      </c>
    </row>
    <row r="7" ht="20" customHeight="1">
      <c r="A7" s="60" t="inlineStr">
        <is>
          <t>T001</t>
        </is>
      </c>
      <c r="B7" s="65">
        <f>IF(A7="","",IFERROR(INDEX(Bestand!$B$14:$B$213,MATCH(A7,Bestand!$A$14:$A$213,0)),"ID unbekannt"))</f>
        <v/>
      </c>
      <c r="C7" s="63" t="n">
        <v>45171</v>
      </c>
      <c r="D7" s="62" t="n">
        <v>5.8</v>
      </c>
      <c r="E7" s="60" t="inlineStr">
        <is>
          <t>Ja</t>
        </is>
      </c>
      <c r="F7" s="60" t="inlineStr">
        <is>
          <t>weiblich</t>
        </is>
      </c>
      <c r="G7" s="61" t="n"/>
      <c r="H7" s="69">
        <f>IF(OR(A7="",C7=""),"",COUNTIFS($A$7:$A$1006,A7,$C$7:$C$1006,"&lt;"&amp;C7)+1)</f>
        <v/>
      </c>
      <c r="I7" s="67">
        <f>IF(H7="","",IF(H7=1,"",C7-_xlfn.MAXIFS($C$7:$C$1006,$A$7:$A$1006,A7,$C$7:$C$1006,"&lt;"&amp;C7)))</f>
        <v/>
      </c>
      <c r="J7" s="68">
        <f>IF(I7="","",I7/TpM)</f>
        <v/>
      </c>
      <c r="K7" s="69">
        <f>IF(H7="","",COUNTIFS($A$7:$A$1006,A7,$C$7:$C$1006,"&gt;0")-H7)</f>
        <v/>
      </c>
      <c r="L7" s="69">
        <f>IF(H7="","",A7&amp;"|"&amp;H7)</f>
        <v/>
      </c>
      <c r="M7" s="69">
        <f>IF(A7="","",IFERROR(INDEX(Bestand!$AC$14:$AC$213,MATCH(A7,Bestand!$A$14:$A$213,0)),0))</f>
        <v/>
      </c>
      <c r="N7" s="69">
        <f>IF(OR(H7="",M7&lt;&gt;1),"",C7+ROW()/100000)</f>
        <v/>
      </c>
    </row>
    <row r="8" ht="20" customHeight="1">
      <c r="A8" s="60" t="inlineStr">
        <is>
          <t>T001</t>
        </is>
      </c>
      <c r="B8" s="65">
        <f>IF(A8="","",IFERROR(INDEX(Bestand!$B$14:$B$213,MATCH(A8,Bestand!$A$14:$A$213,0)),"ID unbekannt"))</f>
        <v/>
      </c>
      <c r="C8" s="63" t="n">
        <v>45555</v>
      </c>
      <c r="D8" s="62" t="n">
        <v>6.4</v>
      </c>
      <c r="E8" s="60" t="inlineStr">
        <is>
          <t>Ja</t>
        </is>
      </c>
      <c r="F8" s="60" t="inlineStr">
        <is>
          <t>weiblich</t>
        </is>
      </c>
      <c r="G8" s="61" t="n"/>
      <c r="H8" s="69">
        <f>IF(OR(A8="",C8=""),"",COUNTIFS($A$7:$A$1006,A8,$C$7:$C$1006,"&lt;"&amp;C8)+1)</f>
        <v/>
      </c>
      <c r="I8" s="67">
        <f>IF(H8="","",IF(H8=1,"",C8-_xlfn.MAXIFS($C$7:$C$1006,$A$7:$A$1006,A8,$C$7:$C$1006,"&lt;"&amp;C8)))</f>
        <v/>
      </c>
      <c r="J8" s="68">
        <f>IF(I8="","",I8/TpM)</f>
        <v/>
      </c>
      <c r="K8" s="69">
        <f>IF(H8="","",COUNTIFS($A$7:$A$1006,A8,$C$7:$C$1006,"&gt;0")-H8)</f>
        <v/>
      </c>
      <c r="L8" s="69">
        <f>IF(H8="","",A8&amp;"|"&amp;H8)</f>
        <v/>
      </c>
      <c r="M8" s="69">
        <f>IF(A8="","",IFERROR(INDEX(Bestand!$AC$14:$AC$213,MATCH(A8,Bestand!$A$14:$A$213,0)),0))</f>
        <v/>
      </c>
      <c r="N8" s="69">
        <f>IF(OR(H8="",M8&lt;&gt;1),"",C8+ROW()/100000)</f>
        <v/>
      </c>
    </row>
    <row r="9" ht="20" customHeight="1">
      <c r="A9" s="60" t="inlineStr">
        <is>
          <t>T001</t>
        </is>
      </c>
      <c r="B9" s="65">
        <f>IF(A9="","",IFERROR(INDEX(Bestand!$B$14:$B$213,MATCH(A9,Bestand!$A$14:$A$213,0)),"ID unbekannt"))</f>
        <v/>
      </c>
      <c r="C9" s="63" t="n">
        <v>45935</v>
      </c>
      <c r="D9" s="62" t="n">
        <v>6.8</v>
      </c>
      <c r="E9" s="60" t="inlineStr">
        <is>
          <t>Ja</t>
        </is>
      </c>
      <c r="F9" s="60" t="inlineStr">
        <is>
          <t>weiblich</t>
        </is>
      </c>
      <c r="G9" s="61" t="n"/>
      <c r="H9" s="69">
        <f>IF(OR(A9="",C9=""),"",COUNTIFS($A$7:$A$1006,A9,$C$7:$C$1006,"&lt;"&amp;C9)+1)</f>
        <v/>
      </c>
      <c r="I9" s="67">
        <f>IF(H9="","",IF(H9=1,"",C9-_xlfn.MAXIFS($C$7:$C$1006,$A$7:$A$1006,A9,$C$7:$C$1006,"&lt;"&amp;C9)))</f>
        <v/>
      </c>
      <c r="J9" s="68">
        <f>IF(I9="","",I9/TpM)</f>
        <v/>
      </c>
      <c r="K9" s="69">
        <f>IF(H9="","",COUNTIFS($A$7:$A$1006,A9,$C$7:$C$1006,"&gt;0")-H9)</f>
        <v/>
      </c>
      <c r="L9" s="69">
        <f>IF(H9="","",A9&amp;"|"&amp;H9)</f>
        <v/>
      </c>
      <c r="M9" s="69">
        <f>IF(A9="","",IFERROR(INDEX(Bestand!$AC$14:$AC$213,MATCH(A9,Bestand!$A$14:$A$213,0)),0))</f>
        <v/>
      </c>
      <c r="N9" s="69">
        <f>IF(OR(H9="",M9&lt;&gt;1),"",C9+ROW()/100000)</f>
        <v/>
      </c>
    </row>
    <row r="10" ht="20" customHeight="1">
      <c r="A10" s="60" t="inlineStr">
        <is>
          <t>T002</t>
        </is>
      </c>
      <c r="B10" s="65">
        <f>IF(A10="","",IFERROR(INDEX(Bestand!$B$14:$B$213,MATCH(A10,Bestand!$A$14:$A$213,0)),"ID unbekannt"))</f>
        <v/>
      </c>
      <c r="C10" s="63" t="n">
        <v>45787</v>
      </c>
      <c r="D10" s="62" t="n">
        <v>2.4</v>
      </c>
      <c r="E10" s="60" t="inlineStr">
        <is>
          <t>Nein</t>
        </is>
      </c>
      <c r="F10" s="60" t="n"/>
      <c r="G10" s="61" t="n"/>
      <c r="H10" s="69">
        <f>IF(OR(A10="",C10=""),"",COUNTIFS($A$7:$A$1006,A10,$C$7:$C$1006,"&lt;"&amp;C10)+1)</f>
        <v/>
      </c>
      <c r="I10" s="67">
        <f>IF(H10="","",IF(H10=1,"",C10-_xlfn.MAXIFS($C$7:$C$1006,$A$7:$A$1006,A10,$C$7:$C$1006,"&lt;"&amp;C10)))</f>
        <v/>
      </c>
      <c r="J10" s="68">
        <f>IF(I10="","",I10/TpM)</f>
        <v/>
      </c>
      <c r="K10" s="69">
        <f>IF(H10="","",COUNTIFS($A$7:$A$1006,A10,$C$7:$C$1006,"&gt;0")-H10)</f>
        <v/>
      </c>
      <c r="L10" s="69">
        <f>IF(H10="","",A10&amp;"|"&amp;H10)</f>
        <v/>
      </c>
      <c r="M10" s="69">
        <f>IF(A10="","",IFERROR(INDEX(Bestand!$AC$14:$AC$213,MATCH(A10,Bestand!$A$14:$A$213,0)),0))</f>
        <v/>
      </c>
      <c r="N10" s="69">
        <f>IF(OR(H10="",M10&lt;&gt;1),"",C10+ROW()/100000)</f>
        <v/>
      </c>
    </row>
    <row r="11" ht="20" customHeight="1">
      <c r="A11" s="60" t="inlineStr">
        <is>
          <t>T002</t>
        </is>
      </c>
      <c r="B11" s="65">
        <f>IF(A11="","",IFERROR(INDEX(Bestand!$B$14:$B$213,MATCH(A11,Bestand!$A$14:$A$213,0)),"ID unbekannt"))</f>
        <v/>
      </c>
      <c r="C11" s="63" t="n">
        <v>45866</v>
      </c>
      <c r="D11" s="62" t="n">
        <v>2.9</v>
      </c>
      <c r="E11" s="60" t="inlineStr">
        <is>
          <t>Ja</t>
        </is>
      </c>
      <c r="F11" s="60" t="inlineStr">
        <is>
          <t>weiblich</t>
        </is>
      </c>
      <c r="G11" s="61" t="inlineStr">
        <is>
          <t>Erste Bestimmung</t>
        </is>
      </c>
      <c r="H11" s="69">
        <f>IF(OR(A11="",C11=""),"",COUNTIFS($A$7:$A$1006,A11,$C$7:$C$1006,"&lt;"&amp;C11)+1)</f>
        <v/>
      </c>
      <c r="I11" s="67">
        <f>IF(H11="","",IF(H11=1,"",C11-_xlfn.MAXIFS($C$7:$C$1006,$A$7:$A$1006,A11,$C$7:$C$1006,"&lt;"&amp;C11)))</f>
        <v/>
      </c>
      <c r="J11" s="68">
        <f>IF(I11="","",I11/TpM)</f>
        <v/>
      </c>
      <c r="K11" s="69">
        <f>IF(H11="","",COUNTIFS($A$7:$A$1006,A11,$C$7:$C$1006,"&gt;0")-H11)</f>
        <v/>
      </c>
      <c r="L11" s="69">
        <f>IF(H11="","",A11&amp;"|"&amp;H11)</f>
        <v/>
      </c>
      <c r="M11" s="69">
        <f>IF(A11="","",IFERROR(INDEX(Bestand!$AC$14:$AC$213,MATCH(A11,Bestand!$A$14:$A$213,0)),0))</f>
        <v/>
      </c>
      <c r="N11" s="69">
        <f>IF(OR(H11="",M11&lt;&gt;1),"",C11+ROW()/100000)</f>
        <v/>
      </c>
    </row>
    <row r="12" ht="20" customHeight="1">
      <c r="A12" s="60" t="inlineStr">
        <is>
          <t>T002</t>
        </is>
      </c>
      <c r="B12" s="65">
        <f>IF(A12="","",IFERROR(INDEX(Bestand!$B$14:$B$213,MATCH(A12,Bestand!$A$14:$A$213,0)),"ID unbekannt"))</f>
        <v/>
      </c>
      <c r="C12" s="63" t="n">
        <v>45960</v>
      </c>
      <c r="D12" s="62" t="n">
        <v>3.4</v>
      </c>
      <c r="E12" s="60" t="inlineStr">
        <is>
          <t>Nein</t>
        </is>
      </c>
      <c r="F12" s="60" t="n"/>
      <c r="G12" s="61" t="n"/>
      <c r="H12" s="69">
        <f>IF(OR(A12="",C12=""),"",COUNTIFS($A$7:$A$1006,A12,$C$7:$C$1006,"&lt;"&amp;C12)+1)</f>
        <v/>
      </c>
      <c r="I12" s="67">
        <f>IF(H12="","",IF(H12=1,"",C12-_xlfn.MAXIFS($C$7:$C$1006,$A$7:$A$1006,A12,$C$7:$C$1006,"&lt;"&amp;C12)))</f>
        <v/>
      </c>
      <c r="J12" s="68">
        <f>IF(I12="","",I12/TpM)</f>
        <v/>
      </c>
      <c r="K12" s="69">
        <f>IF(H12="","",COUNTIFS($A$7:$A$1006,A12,$C$7:$C$1006,"&gt;0")-H12)</f>
        <v/>
      </c>
      <c r="L12" s="69">
        <f>IF(H12="","",A12&amp;"|"&amp;H12)</f>
        <v/>
      </c>
      <c r="M12" s="69">
        <f>IF(A12="","",IFERROR(INDEX(Bestand!$AC$14:$AC$213,MATCH(A12,Bestand!$A$14:$A$213,0)),0))</f>
        <v/>
      </c>
      <c r="N12" s="69">
        <f>IF(OR(H12="",M12&lt;&gt;1),"",C12+ROW()/100000)</f>
        <v/>
      </c>
    </row>
    <row r="13" ht="20" customHeight="1">
      <c r="A13" s="60" t="inlineStr">
        <is>
          <t>T002</t>
        </is>
      </c>
      <c r="B13" s="65">
        <f>IF(A13="","",IFERROR(INDEX(Bestand!$B$14:$B$213,MATCH(A13,Bestand!$A$14:$A$213,0)),"ID unbekannt"))</f>
        <v/>
      </c>
      <c r="C13" s="63" t="n">
        <v>46073</v>
      </c>
      <c r="D13" s="62" t="n">
        <v>3.9</v>
      </c>
      <c r="E13" s="60" t="inlineStr">
        <is>
          <t>Ja</t>
        </is>
      </c>
      <c r="F13" s="60" t="inlineStr">
        <is>
          <t>weiblich</t>
        </is>
      </c>
      <c r="G13" s="61" t="n"/>
      <c r="H13" s="69">
        <f>IF(OR(A13="",C13=""),"",COUNTIFS($A$7:$A$1006,A13,$C$7:$C$1006,"&lt;"&amp;C13)+1)</f>
        <v/>
      </c>
      <c r="I13" s="67">
        <f>IF(H13="","",IF(H13=1,"",C13-_xlfn.MAXIFS($C$7:$C$1006,$A$7:$A$1006,A13,$C$7:$C$1006,"&lt;"&amp;C13)))</f>
        <v/>
      </c>
      <c r="J13" s="68">
        <f>IF(I13="","",I13/TpM)</f>
        <v/>
      </c>
      <c r="K13" s="69">
        <f>IF(H13="","",COUNTIFS($A$7:$A$1006,A13,$C$7:$C$1006,"&gt;0")-H13)</f>
        <v/>
      </c>
      <c r="L13" s="69">
        <f>IF(H13="","",A13&amp;"|"&amp;H13)</f>
        <v/>
      </c>
      <c r="M13" s="69">
        <f>IF(A13="","",IFERROR(INDEX(Bestand!$AC$14:$AC$213,MATCH(A13,Bestand!$A$14:$A$213,0)),0))</f>
        <v/>
      </c>
      <c r="N13" s="69">
        <f>IF(OR(H13="",M13&lt;&gt;1),"",C13+ROW()/100000)</f>
        <v/>
      </c>
    </row>
    <row r="14" ht="20" customHeight="1">
      <c r="A14" s="60" t="inlineStr">
        <is>
          <t>T002</t>
        </is>
      </c>
      <c r="B14" s="65">
        <f>IF(A14="","",IFERROR(INDEX(Bestand!$B$14:$B$213,MATCH(A14,Bestand!$A$14:$A$213,0)),"ID unbekannt"))</f>
        <v/>
      </c>
      <c r="C14" s="63" t="n">
        <v>46183</v>
      </c>
      <c r="D14" s="62" t="n">
        <v>4.3</v>
      </c>
      <c r="E14" s="60" t="inlineStr">
        <is>
          <t>Nein</t>
        </is>
      </c>
      <c r="F14" s="60" t="n"/>
      <c r="G14" s="61" t="n"/>
      <c r="H14" s="69">
        <f>IF(OR(A14="",C14=""),"",COUNTIFS($A$7:$A$1006,A14,$C$7:$C$1006,"&lt;"&amp;C14)+1)</f>
        <v/>
      </c>
      <c r="I14" s="67">
        <f>IF(H14="","",IF(H14=1,"",C14-_xlfn.MAXIFS($C$7:$C$1006,$A$7:$A$1006,A14,$C$7:$C$1006,"&lt;"&amp;C14)))</f>
        <v/>
      </c>
      <c r="J14" s="68">
        <f>IF(I14="","",I14/TpM)</f>
        <v/>
      </c>
      <c r="K14" s="69">
        <f>IF(H14="","",COUNTIFS($A$7:$A$1006,A14,$C$7:$C$1006,"&gt;0")-H14)</f>
        <v/>
      </c>
      <c r="L14" s="69">
        <f>IF(H14="","",A14&amp;"|"&amp;H14)</f>
        <v/>
      </c>
      <c r="M14" s="69">
        <f>IF(A14="","",IFERROR(INDEX(Bestand!$AC$14:$AC$213,MATCH(A14,Bestand!$A$14:$A$213,0)),0))</f>
        <v/>
      </c>
      <c r="N14" s="69">
        <f>IF(OR(H14="",M14&lt;&gt;1),"",C14+ROW()/100000)</f>
        <v/>
      </c>
    </row>
    <row r="15" ht="20" customHeight="1">
      <c r="A15" s="60" t="inlineStr">
        <is>
          <t>T003</t>
        </is>
      </c>
      <c r="B15" s="65">
        <f>IF(A15="","",IFERROR(INDEX(Bestand!$B$14:$B$213,MATCH(A15,Bestand!$A$14:$A$213,0)),"ID unbekannt"))</f>
        <v/>
      </c>
      <c r="C15" s="63" t="n">
        <v>45446</v>
      </c>
      <c r="D15" s="62" t="n">
        <v>4.8</v>
      </c>
      <c r="E15" s="60" t="inlineStr">
        <is>
          <t>Nein</t>
        </is>
      </c>
      <c r="F15" s="60" t="n"/>
      <c r="G15" s="61" t="n"/>
      <c r="H15" s="69">
        <f>IF(OR(A15="",C15=""),"",COUNTIFS($A$7:$A$1006,A15,$C$7:$C$1006,"&lt;"&amp;C15)+1)</f>
        <v/>
      </c>
      <c r="I15" s="67">
        <f>IF(H15="","",IF(H15=1,"",C15-_xlfn.MAXIFS($C$7:$C$1006,$A$7:$A$1006,A15,$C$7:$C$1006,"&lt;"&amp;C15)))</f>
        <v/>
      </c>
      <c r="J15" s="68">
        <f>IF(I15="","",I15/TpM)</f>
        <v/>
      </c>
      <c r="K15" s="69">
        <f>IF(H15="","",COUNTIFS($A$7:$A$1006,A15,$C$7:$C$1006,"&gt;0")-H15)</f>
        <v/>
      </c>
      <c r="L15" s="69">
        <f>IF(H15="","",A15&amp;"|"&amp;H15)</f>
        <v/>
      </c>
      <c r="M15" s="69">
        <f>IF(A15="","",IFERROR(INDEX(Bestand!$AC$14:$AC$213,MATCH(A15,Bestand!$A$14:$A$213,0)),0))</f>
        <v/>
      </c>
      <c r="N15" s="69">
        <f>IF(OR(H15="",M15&lt;&gt;1),"",C15+ROW()/100000)</f>
        <v/>
      </c>
    </row>
    <row r="16" ht="20" customHeight="1">
      <c r="A16" s="60" t="inlineStr">
        <is>
          <t>T003</t>
        </is>
      </c>
      <c r="B16" s="65">
        <f>IF(A16="","",IFERROR(INDEX(Bestand!$B$14:$B$213,MATCH(A16,Bestand!$A$14:$A$213,0)),"ID unbekannt"))</f>
        <v/>
      </c>
      <c r="C16" s="63" t="n">
        <v>45669</v>
      </c>
      <c r="D16" s="62" t="n">
        <v>5.2</v>
      </c>
      <c r="E16" s="60" t="inlineStr">
        <is>
          <t>Ja</t>
        </is>
      </c>
      <c r="F16" s="60" t="inlineStr">
        <is>
          <t>männlich</t>
        </is>
      </c>
      <c r="G16" s="61" t="n"/>
      <c r="H16" s="69">
        <f>IF(OR(A16="",C16=""),"",COUNTIFS($A$7:$A$1006,A16,$C$7:$C$1006,"&lt;"&amp;C16)+1)</f>
        <v/>
      </c>
      <c r="I16" s="67">
        <f>IF(H16="","",IF(H16=1,"",C16-_xlfn.MAXIFS($C$7:$C$1006,$A$7:$A$1006,A16,$C$7:$C$1006,"&lt;"&amp;C16)))</f>
        <v/>
      </c>
      <c r="J16" s="68">
        <f>IF(I16="","",I16/TpM)</f>
        <v/>
      </c>
      <c r="K16" s="69">
        <f>IF(H16="","",COUNTIFS($A$7:$A$1006,A16,$C$7:$C$1006,"&gt;0")-H16)</f>
        <v/>
      </c>
      <c r="L16" s="69">
        <f>IF(H16="","",A16&amp;"|"&amp;H16)</f>
        <v/>
      </c>
      <c r="M16" s="69">
        <f>IF(A16="","",IFERROR(INDEX(Bestand!$AC$14:$AC$213,MATCH(A16,Bestand!$A$14:$A$213,0)),0))</f>
        <v/>
      </c>
      <c r="N16" s="69">
        <f>IF(OR(H16="",M16&lt;&gt;1),"",C16+ROW()/100000)</f>
        <v/>
      </c>
    </row>
    <row r="17" ht="20" customHeight="1">
      <c r="A17" s="60" t="inlineStr">
        <is>
          <t>T003</t>
        </is>
      </c>
      <c r="B17" s="65">
        <f>IF(A17="","",IFERROR(INDEX(Bestand!$B$14:$B$213,MATCH(A17,Bestand!$A$14:$A$213,0)),"ID unbekannt"))</f>
        <v/>
      </c>
      <c r="C17" s="63" t="n">
        <v>46156</v>
      </c>
      <c r="D17" s="62" t="n">
        <v>5.6</v>
      </c>
      <c r="E17" s="60" t="inlineStr">
        <is>
          <t>Ja</t>
        </is>
      </c>
      <c r="F17" s="60" t="inlineStr">
        <is>
          <t>männlich</t>
        </is>
      </c>
      <c r="G17" s="61" t="inlineStr">
        <is>
          <t>Bulben und Schienbeinhaken</t>
        </is>
      </c>
      <c r="H17" s="69">
        <f>IF(OR(A17="",C17=""),"",COUNTIFS($A$7:$A$1006,A17,$C$7:$C$1006,"&lt;"&amp;C17)+1)</f>
        <v/>
      </c>
      <c r="I17" s="67">
        <f>IF(H17="","",IF(H17=1,"",C17-_xlfn.MAXIFS($C$7:$C$1006,$A$7:$A$1006,A17,$C$7:$C$1006,"&lt;"&amp;C17)))</f>
        <v/>
      </c>
      <c r="J17" s="68">
        <f>IF(I17="","",I17/TpM)</f>
        <v/>
      </c>
      <c r="K17" s="69">
        <f>IF(H17="","",COUNTIFS($A$7:$A$1006,A17,$C$7:$C$1006,"&gt;0")-H17)</f>
        <v/>
      </c>
      <c r="L17" s="69">
        <f>IF(H17="","",A17&amp;"|"&amp;H17)</f>
        <v/>
      </c>
      <c r="M17" s="69">
        <f>IF(A17="","",IFERROR(INDEX(Bestand!$AC$14:$AC$213,MATCH(A17,Bestand!$A$14:$A$213,0)),0))</f>
        <v/>
      </c>
      <c r="N17" s="69">
        <f>IF(OR(H17="",M17&lt;&gt;1),"",C17+ROW()/100000)</f>
        <v/>
      </c>
    </row>
    <row r="18" ht="20" customHeight="1">
      <c r="A18" s="60" t="inlineStr">
        <is>
          <t>T004</t>
        </is>
      </c>
      <c r="B18" s="65">
        <f>IF(A18="","",IFERROR(INDEX(Bestand!$B$14:$B$213,MATCH(A18,Bestand!$A$14:$A$213,0)),"ID unbekannt"))</f>
        <v/>
      </c>
      <c r="C18" s="63" t="n">
        <v>46174</v>
      </c>
      <c r="D18" s="62" t="n">
        <v>1.2</v>
      </c>
      <c r="E18" s="60" t="inlineStr">
        <is>
          <t>Nein</t>
        </is>
      </c>
      <c r="F18" s="60" t="n"/>
      <c r="G18" s="61" t="n"/>
      <c r="H18" s="69">
        <f>IF(OR(A18="",C18=""),"",COUNTIFS($A$7:$A$1006,A18,$C$7:$C$1006,"&lt;"&amp;C18)+1)</f>
        <v/>
      </c>
      <c r="I18" s="67">
        <f>IF(H18="","",IF(H18=1,"",C18-_xlfn.MAXIFS($C$7:$C$1006,$A$7:$A$1006,A18,$C$7:$C$1006,"&lt;"&amp;C18)))</f>
        <v/>
      </c>
      <c r="J18" s="68">
        <f>IF(I18="","",I18/TpM)</f>
        <v/>
      </c>
      <c r="K18" s="69">
        <f>IF(H18="","",COUNTIFS($A$7:$A$1006,A18,$C$7:$C$1006,"&gt;0")-H18)</f>
        <v/>
      </c>
      <c r="L18" s="69">
        <f>IF(H18="","",A18&amp;"|"&amp;H18)</f>
        <v/>
      </c>
      <c r="M18" s="69">
        <f>IF(A18="","",IFERROR(INDEX(Bestand!$AC$14:$AC$213,MATCH(A18,Bestand!$A$14:$A$213,0)),0))</f>
        <v/>
      </c>
      <c r="N18" s="69">
        <f>IF(OR(H18="",M18&lt;&gt;1),"",C18+ROW()/100000)</f>
        <v/>
      </c>
    </row>
    <row r="19" ht="20" customHeight="1">
      <c r="A19" s="60" t="inlineStr">
        <is>
          <t>T004</t>
        </is>
      </c>
      <c r="B19" s="65">
        <f>IF(A19="","",IFERROR(INDEX(Bestand!$B$14:$B$213,MATCH(A19,Bestand!$A$14:$A$213,0)),"ID unbekannt"))</f>
        <v/>
      </c>
      <c r="C19" s="63" t="n">
        <v>46211</v>
      </c>
      <c r="D19" s="62" t="n">
        <v>1.4</v>
      </c>
      <c r="E19" s="60" t="inlineStr">
        <is>
          <t>Nein</t>
        </is>
      </c>
      <c r="F19" s="60" t="n"/>
      <c r="G19" s="61" t="n"/>
      <c r="H19" s="69">
        <f>IF(OR(A19="",C19=""),"",COUNTIFS($A$7:$A$1006,A19,$C$7:$C$1006,"&lt;"&amp;C19)+1)</f>
        <v/>
      </c>
      <c r="I19" s="67">
        <f>IF(H19="","",IF(H19=1,"",C19-_xlfn.MAXIFS($C$7:$C$1006,$A$7:$A$1006,A19,$C$7:$C$1006,"&lt;"&amp;C19)))</f>
        <v/>
      </c>
      <c r="J19" s="68">
        <f>IF(I19="","",I19/TpM)</f>
        <v/>
      </c>
      <c r="K19" s="69">
        <f>IF(H19="","",COUNTIFS($A$7:$A$1006,A19,$C$7:$C$1006,"&gt;0")-H19)</f>
        <v/>
      </c>
      <c r="L19" s="69">
        <f>IF(H19="","",A19&amp;"|"&amp;H19)</f>
        <v/>
      </c>
      <c r="M19" s="69">
        <f>IF(A19="","",IFERROR(INDEX(Bestand!$AC$14:$AC$213,MATCH(A19,Bestand!$A$14:$A$213,0)),0))</f>
        <v/>
      </c>
      <c r="N19" s="69">
        <f>IF(OR(H19="",M19&lt;&gt;1),"",C19+ROW()/100000)</f>
        <v/>
      </c>
    </row>
    <row r="20" ht="20" customHeight="1">
      <c r="A20" s="60" t="inlineStr">
        <is>
          <t>T004</t>
        </is>
      </c>
      <c r="B20" s="65">
        <f>IF(A20="","",IFERROR(INDEX(Bestand!$B$14:$B$213,MATCH(A20,Bestand!$A$14:$A$213,0)),"ID unbekannt"))</f>
        <v/>
      </c>
      <c r="C20" s="63" t="n">
        <v>46239</v>
      </c>
      <c r="D20" s="62" t="n">
        <v>1.6</v>
      </c>
      <c r="E20" s="60" t="inlineStr">
        <is>
          <t>Nein</t>
        </is>
      </c>
      <c r="F20" s="60" t="n"/>
      <c r="G20" s="61" t="n"/>
      <c r="H20" s="69">
        <f>IF(OR(A20="",C20=""),"",COUNTIFS($A$7:$A$1006,A20,$C$7:$C$1006,"&lt;"&amp;C20)+1)</f>
        <v/>
      </c>
      <c r="I20" s="67">
        <f>IF(H20="","",IF(H20=1,"",C20-_xlfn.MAXIFS($C$7:$C$1006,$A$7:$A$1006,A20,$C$7:$C$1006,"&lt;"&amp;C20)))</f>
        <v/>
      </c>
      <c r="J20" s="68">
        <f>IF(I20="","",I20/TpM)</f>
        <v/>
      </c>
      <c r="K20" s="69">
        <f>IF(H20="","",COUNTIFS($A$7:$A$1006,A20,$C$7:$C$1006,"&gt;0")-H20)</f>
        <v/>
      </c>
      <c r="L20" s="69">
        <f>IF(H20="","",A20&amp;"|"&amp;H20)</f>
        <v/>
      </c>
      <c r="M20" s="69">
        <f>IF(A20="","",IFERROR(INDEX(Bestand!$AC$14:$AC$213,MATCH(A20,Bestand!$A$14:$A$213,0)),0))</f>
        <v/>
      </c>
      <c r="N20" s="69">
        <f>IF(OR(H20="",M20&lt;&gt;1),"",C20+ROW()/100000)</f>
        <v/>
      </c>
    </row>
    <row r="21" ht="20" customHeight="1">
      <c r="A21" s="60" t="inlineStr">
        <is>
          <t>T005</t>
        </is>
      </c>
      <c r="B21" s="65">
        <f>IF(A21="","",IFERROR(INDEX(Bestand!$B$14:$B$213,MATCH(A21,Bestand!$A$14:$A$213,0)),"ID unbekannt"))</f>
        <v/>
      </c>
      <c r="C21" s="63" t="n">
        <v>45817</v>
      </c>
      <c r="D21" s="62" t="n">
        <v>4.6</v>
      </c>
      <c r="E21" s="60" t="inlineStr">
        <is>
          <t>Ja</t>
        </is>
      </c>
      <c r="F21" s="60" t="inlineStr">
        <is>
          <t>weiblich</t>
        </is>
      </c>
      <c r="G21" s="61" t="n"/>
      <c r="H21" s="69">
        <f>IF(OR(A21="",C21=""),"",COUNTIFS($A$7:$A$1006,A21,$C$7:$C$1006,"&lt;"&amp;C21)+1)</f>
        <v/>
      </c>
      <c r="I21" s="67">
        <f>IF(H21="","",IF(H21=1,"",C21-_xlfn.MAXIFS($C$7:$C$1006,$A$7:$A$1006,A21,$C$7:$C$1006,"&lt;"&amp;C21)))</f>
        <v/>
      </c>
      <c r="J21" s="68">
        <f>IF(I21="","",I21/TpM)</f>
        <v/>
      </c>
      <c r="K21" s="69">
        <f>IF(H21="","",COUNTIFS($A$7:$A$1006,A21,$C$7:$C$1006,"&gt;0")-H21)</f>
        <v/>
      </c>
      <c r="L21" s="69">
        <f>IF(H21="","",A21&amp;"|"&amp;H21)</f>
        <v/>
      </c>
      <c r="M21" s="69">
        <f>IF(A21="","",IFERROR(INDEX(Bestand!$AC$14:$AC$213,MATCH(A21,Bestand!$A$14:$A$213,0)),0))</f>
        <v/>
      </c>
      <c r="N21" s="69">
        <f>IF(OR(H21="",M21&lt;&gt;1),"",C21+ROW()/100000)</f>
        <v/>
      </c>
    </row>
    <row r="22" ht="20" customHeight="1">
      <c r="A22" s="60" t="inlineStr">
        <is>
          <t>T005</t>
        </is>
      </c>
      <c r="B22" s="65">
        <f>IF(A22="","",IFERROR(INDEX(Bestand!$B$14:$B$213,MATCH(A22,Bestand!$A$14:$A$213,0)),"ID unbekannt"))</f>
        <v/>
      </c>
      <c r="C22" s="63" t="n">
        <v>45993</v>
      </c>
      <c r="D22" s="62" t="n">
        <v>5.2</v>
      </c>
      <c r="E22" s="60" t="inlineStr">
        <is>
          <t>Ja</t>
        </is>
      </c>
      <c r="F22" s="60" t="inlineStr">
        <is>
          <t>weiblich</t>
        </is>
      </c>
      <c r="G22" s="61" t="n"/>
      <c r="H22" s="69">
        <f>IF(OR(A22="",C22=""),"",COUNTIFS($A$7:$A$1006,A22,$C$7:$C$1006,"&lt;"&amp;C22)+1)</f>
        <v/>
      </c>
      <c r="I22" s="67">
        <f>IF(H22="","",IF(H22=1,"",C22-_xlfn.MAXIFS($C$7:$C$1006,$A$7:$A$1006,A22,$C$7:$C$1006,"&lt;"&amp;C22)))</f>
        <v/>
      </c>
      <c r="J22" s="68">
        <f>IF(I22="","",I22/TpM)</f>
        <v/>
      </c>
      <c r="K22" s="69">
        <f>IF(H22="","",COUNTIFS($A$7:$A$1006,A22,$C$7:$C$1006,"&gt;0")-H22)</f>
        <v/>
      </c>
      <c r="L22" s="69">
        <f>IF(H22="","",A22&amp;"|"&amp;H22)</f>
        <v/>
      </c>
      <c r="M22" s="69">
        <f>IF(A22="","",IFERROR(INDEX(Bestand!$AC$14:$AC$213,MATCH(A22,Bestand!$A$14:$A$213,0)),0))</f>
        <v/>
      </c>
      <c r="N22" s="69">
        <f>IF(OR(H22="",M22&lt;&gt;1),"",C22+ROW()/100000)</f>
        <v/>
      </c>
    </row>
    <row r="23" ht="20" customHeight="1">
      <c r="A23" s="60" t="inlineStr">
        <is>
          <t>T005</t>
        </is>
      </c>
      <c r="B23" s="65">
        <f>IF(A23="","",IFERROR(INDEX(Bestand!$B$14:$B$213,MATCH(A23,Bestand!$A$14:$A$213,0)),"ID unbekannt"))</f>
        <v/>
      </c>
      <c r="C23" s="63" t="n">
        <v>46162</v>
      </c>
      <c r="D23" s="62" t="n">
        <v>5.8</v>
      </c>
      <c r="E23" s="60" t="inlineStr">
        <is>
          <t>Ja</t>
        </is>
      </c>
      <c r="F23" s="60" t="inlineStr">
        <is>
          <t>weiblich</t>
        </is>
      </c>
      <c r="G23" s="61" t="n"/>
      <c r="H23" s="69">
        <f>IF(OR(A23="",C23=""),"",COUNTIFS($A$7:$A$1006,A23,$C$7:$C$1006,"&lt;"&amp;C23)+1)</f>
        <v/>
      </c>
      <c r="I23" s="67">
        <f>IF(H23="","",IF(H23=1,"",C23-_xlfn.MAXIFS($C$7:$C$1006,$A$7:$A$1006,A23,$C$7:$C$1006,"&lt;"&amp;C23)))</f>
        <v/>
      </c>
      <c r="J23" s="68">
        <f>IF(I23="","",I23/TpM)</f>
        <v/>
      </c>
      <c r="K23" s="69">
        <f>IF(H23="","",COUNTIFS($A$7:$A$1006,A23,$C$7:$C$1006,"&gt;0")-H23)</f>
        <v/>
      </c>
      <c r="L23" s="69">
        <f>IF(H23="","",A23&amp;"|"&amp;H23)</f>
        <v/>
      </c>
      <c r="M23" s="69">
        <f>IF(A23="","",IFERROR(INDEX(Bestand!$AC$14:$AC$213,MATCH(A23,Bestand!$A$14:$A$213,0)),0))</f>
        <v/>
      </c>
      <c r="N23" s="69">
        <f>IF(OR(H23="",M23&lt;&gt;1),"",C23+ROW()/100000)</f>
        <v/>
      </c>
    </row>
    <row r="24" ht="20" customHeight="1">
      <c r="A24" s="60" t="inlineStr">
        <is>
          <t>T006</t>
        </is>
      </c>
      <c r="B24" s="65">
        <f>IF(A24="","",IFERROR(INDEX(Bestand!$B$14:$B$213,MATCH(A24,Bestand!$A$14:$A$213,0)),"ID unbekannt"))</f>
        <v/>
      </c>
      <c r="C24" s="63" t="n">
        <v>45616</v>
      </c>
      <c r="D24" s="62" t="n">
        <v>3.4</v>
      </c>
      <c r="E24" s="60" t="inlineStr">
        <is>
          <t>Nein</t>
        </is>
      </c>
      <c r="F24" s="60" t="n"/>
      <c r="G24" s="61" t="n"/>
      <c r="H24" s="69">
        <f>IF(OR(A24="",C24=""),"",COUNTIFS($A$7:$A$1006,A24,$C$7:$C$1006,"&lt;"&amp;C24)+1)</f>
        <v/>
      </c>
      <c r="I24" s="67">
        <f>IF(H24="","",IF(H24=1,"",C24-_xlfn.MAXIFS($C$7:$C$1006,$A$7:$A$1006,A24,$C$7:$C$1006,"&lt;"&amp;C24)))</f>
        <v/>
      </c>
      <c r="J24" s="68">
        <f>IF(I24="","",I24/TpM)</f>
        <v/>
      </c>
      <c r="K24" s="69">
        <f>IF(H24="","",COUNTIFS($A$7:$A$1006,A24,$C$7:$C$1006,"&gt;0")-H24)</f>
        <v/>
      </c>
      <c r="L24" s="69">
        <f>IF(H24="","",A24&amp;"|"&amp;H24)</f>
        <v/>
      </c>
      <c r="M24" s="69">
        <f>IF(A24="","",IFERROR(INDEX(Bestand!$AC$14:$AC$213,MATCH(A24,Bestand!$A$14:$A$213,0)),0))</f>
        <v/>
      </c>
      <c r="N24" s="69">
        <f>IF(OR(H24="",M24&lt;&gt;1),"",C24+ROW()/100000)</f>
        <v/>
      </c>
    </row>
    <row r="25" ht="20" customHeight="1">
      <c r="A25" s="60" t="inlineStr">
        <is>
          <t>T006</t>
        </is>
      </c>
      <c r="B25" s="65">
        <f>IF(A25="","",IFERROR(INDEX(Bestand!$B$14:$B$213,MATCH(A25,Bestand!$A$14:$A$213,0)),"ID unbekannt"))</f>
        <v/>
      </c>
      <c r="C25" s="63" t="n">
        <v>45853</v>
      </c>
      <c r="D25" s="62" t="n">
        <v>3.8</v>
      </c>
      <c r="E25" s="60" t="inlineStr">
        <is>
          <t>Ja</t>
        </is>
      </c>
      <c r="F25" s="60" t="inlineStr">
        <is>
          <t>weiblich</t>
        </is>
      </c>
      <c r="G25" s="61" t="n"/>
      <c r="H25" s="69">
        <f>IF(OR(A25="",C25=""),"",COUNTIFS($A$7:$A$1006,A25,$C$7:$C$1006,"&lt;"&amp;C25)+1)</f>
        <v/>
      </c>
      <c r="I25" s="67">
        <f>IF(H25="","",IF(H25=1,"",C25-_xlfn.MAXIFS($C$7:$C$1006,$A$7:$A$1006,A25,$C$7:$C$1006,"&lt;"&amp;C25)))</f>
        <v/>
      </c>
      <c r="J25" s="68">
        <f>IF(I25="","",I25/TpM)</f>
        <v/>
      </c>
      <c r="K25" s="69">
        <f>IF(H25="","",COUNTIFS($A$7:$A$1006,A25,$C$7:$C$1006,"&gt;0")-H25)</f>
        <v/>
      </c>
      <c r="L25" s="69">
        <f>IF(H25="","",A25&amp;"|"&amp;H25)</f>
        <v/>
      </c>
      <c r="M25" s="69">
        <f>IF(A25="","",IFERROR(INDEX(Bestand!$AC$14:$AC$213,MATCH(A25,Bestand!$A$14:$A$213,0)),0))</f>
        <v/>
      </c>
      <c r="N25" s="69">
        <f>IF(OR(H25="",M25&lt;&gt;1),"",C25+ROW()/100000)</f>
        <v/>
      </c>
    </row>
    <row r="26" ht="20" customHeight="1">
      <c r="A26" s="60" t="inlineStr">
        <is>
          <t>T006</t>
        </is>
      </c>
      <c r="B26" s="65">
        <f>IF(A26="","",IFERROR(INDEX(Bestand!$B$14:$B$213,MATCH(A26,Bestand!$A$14:$A$213,0)),"ID unbekannt"))</f>
        <v/>
      </c>
      <c r="C26" s="63" t="n">
        <v>46109</v>
      </c>
      <c r="D26" s="62" t="n">
        <v>4.1</v>
      </c>
      <c r="E26" s="60" t="inlineStr">
        <is>
          <t>Nein</t>
        </is>
      </c>
      <c r="F26" s="60" t="n"/>
      <c r="G26" s="61" t="n"/>
      <c r="H26" s="69">
        <f>IF(OR(A26="",C26=""),"",COUNTIFS($A$7:$A$1006,A26,$C$7:$C$1006,"&lt;"&amp;C26)+1)</f>
        <v/>
      </c>
      <c r="I26" s="67">
        <f>IF(H26="","",IF(H26=1,"",C26-_xlfn.MAXIFS($C$7:$C$1006,$A$7:$A$1006,A26,$C$7:$C$1006,"&lt;"&amp;C26)))</f>
        <v/>
      </c>
      <c r="J26" s="68">
        <f>IF(I26="","",I26/TpM)</f>
        <v/>
      </c>
      <c r="K26" s="69">
        <f>IF(H26="","",COUNTIFS($A$7:$A$1006,A26,$C$7:$C$1006,"&gt;0")-H26)</f>
        <v/>
      </c>
      <c r="L26" s="69">
        <f>IF(H26="","",A26&amp;"|"&amp;H26)</f>
        <v/>
      </c>
      <c r="M26" s="69">
        <f>IF(A26="","",IFERROR(INDEX(Bestand!$AC$14:$AC$213,MATCH(A26,Bestand!$A$14:$A$213,0)),0))</f>
        <v/>
      </c>
      <c r="N26" s="69">
        <f>IF(OR(H26="",M26&lt;&gt;1),"",C26+ROW()/100000)</f>
        <v/>
      </c>
    </row>
    <row r="27" ht="20" customHeight="1">
      <c r="A27" s="60" t="n"/>
      <c r="B27" s="65">
        <f>IF(A27="","",IFERROR(INDEX(Bestand!$B$14:$B$213,MATCH(A27,Bestand!$A$14:$A$213,0)),"ID unbekannt"))</f>
        <v/>
      </c>
      <c r="C27" s="63" t="n"/>
      <c r="D27" s="62" t="n"/>
      <c r="E27" s="60" t="n"/>
      <c r="F27" s="60" t="n"/>
      <c r="G27" s="61" t="n"/>
      <c r="H27" s="69">
        <f>IF(OR(A27="",C27=""),"",COUNTIFS($A$7:$A$1006,A27,$C$7:$C$1006,"&lt;"&amp;C27)+1)</f>
        <v/>
      </c>
      <c r="I27" s="67">
        <f>IF(H27="","",IF(H27=1,"",C27-_xlfn.MAXIFS($C$7:$C$1006,$A$7:$A$1006,A27,$C$7:$C$1006,"&lt;"&amp;C27)))</f>
        <v/>
      </c>
      <c r="J27" s="68">
        <f>IF(I27="","",I27/TpM)</f>
        <v/>
      </c>
      <c r="K27" s="69">
        <f>IF(H27="","",COUNTIFS($A$7:$A$1006,A27,$C$7:$C$1006,"&gt;0")-H27)</f>
        <v/>
      </c>
      <c r="L27" s="69">
        <f>IF(H27="","",A27&amp;"|"&amp;H27)</f>
        <v/>
      </c>
      <c r="M27" s="69">
        <f>IF(A27="","",IFERROR(INDEX(Bestand!$AC$14:$AC$213,MATCH(A27,Bestand!$A$14:$A$213,0)),0))</f>
        <v/>
      </c>
      <c r="N27" s="69">
        <f>IF(OR(H27="",M27&lt;&gt;1),"",C27+ROW()/100000)</f>
        <v/>
      </c>
    </row>
    <row r="28" ht="20" customHeight="1">
      <c r="A28" s="60" t="n"/>
      <c r="B28" s="65">
        <f>IF(A28="","",IFERROR(INDEX(Bestand!$B$14:$B$213,MATCH(A28,Bestand!$A$14:$A$213,0)),"ID unbekannt"))</f>
        <v/>
      </c>
      <c r="C28" s="63" t="n"/>
      <c r="D28" s="62" t="n"/>
      <c r="E28" s="60" t="n"/>
      <c r="F28" s="60" t="n"/>
      <c r="G28" s="61" t="n"/>
      <c r="H28" s="69">
        <f>IF(OR(A28="",C28=""),"",COUNTIFS($A$7:$A$1006,A28,$C$7:$C$1006,"&lt;"&amp;C28)+1)</f>
        <v/>
      </c>
      <c r="I28" s="67">
        <f>IF(H28="","",IF(H28=1,"",C28-_xlfn.MAXIFS($C$7:$C$1006,$A$7:$A$1006,A28,$C$7:$C$1006,"&lt;"&amp;C28)))</f>
        <v/>
      </c>
      <c r="J28" s="68">
        <f>IF(I28="","",I28/TpM)</f>
        <v/>
      </c>
      <c r="K28" s="69">
        <f>IF(H28="","",COUNTIFS($A$7:$A$1006,A28,$C$7:$C$1006,"&gt;0")-H28)</f>
        <v/>
      </c>
      <c r="L28" s="69">
        <f>IF(H28="","",A28&amp;"|"&amp;H28)</f>
        <v/>
      </c>
      <c r="M28" s="69">
        <f>IF(A28="","",IFERROR(INDEX(Bestand!$AC$14:$AC$213,MATCH(A28,Bestand!$A$14:$A$213,0)),0))</f>
        <v/>
      </c>
      <c r="N28" s="69">
        <f>IF(OR(H28="",M28&lt;&gt;1),"",C28+ROW()/100000)</f>
        <v/>
      </c>
    </row>
    <row r="29" ht="20" customHeight="1">
      <c r="A29" s="60" t="n"/>
      <c r="B29" s="65">
        <f>IF(A29="","",IFERROR(INDEX(Bestand!$B$14:$B$213,MATCH(A29,Bestand!$A$14:$A$213,0)),"ID unbekannt"))</f>
        <v/>
      </c>
      <c r="C29" s="63" t="n"/>
      <c r="D29" s="62" t="n"/>
      <c r="E29" s="60" t="n"/>
      <c r="F29" s="60" t="n"/>
      <c r="G29" s="61" t="n"/>
      <c r="H29" s="69">
        <f>IF(OR(A29="",C29=""),"",COUNTIFS($A$7:$A$1006,A29,$C$7:$C$1006,"&lt;"&amp;C29)+1)</f>
        <v/>
      </c>
      <c r="I29" s="67">
        <f>IF(H29="","",IF(H29=1,"",C29-_xlfn.MAXIFS($C$7:$C$1006,$A$7:$A$1006,A29,$C$7:$C$1006,"&lt;"&amp;C29)))</f>
        <v/>
      </c>
      <c r="J29" s="68">
        <f>IF(I29="","",I29/TpM)</f>
        <v/>
      </c>
      <c r="K29" s="69">
        <f>IF(H29="","",COUNTIFS($A$7:$A$1006,A29,$C$7:$C$1006,"&gt;0")-H29)</f>
        <v/>
      </c>
      <c r="L29" s="69">
        <f>IF(H29="","",A29&amp;"|"&amp;H29)</f>
        <v/>
      </c>
      <c r="M29" s="69">
        <f>IF(A29="","",IFERROR(INDEX(Bestand!$AC$14:$AC$213,MATCH(A29,Bestand!$A$14:$A$213,0)),0))</f>
        <v/>
      </c>
      <c r="N29" s="69">
        <f>IF(OR(H29="",M29&lt;&gt;1),"",C29+ROW()/100000)</f>
        <v/>
      </c>
    </row>
    <row r="30" ht="20" customHeight="1">
      <c r="A30" s="60" t="n"/>
      <c r="B30" s="65">
        <f>IF(A30="","",IFERROR(INDEX(Bestand!$B$14:$B$213,MATCH(A30,Bestand!$A$14:$A$213,0)),"ID unbekannt"))</f>
        <v/>
      </c>
      <c r="C30" s="63" t="n"/>
      <c r="D30" s="62" t="n"/>
      <c r="E30" s="60" t="n"/>
      <c r="F30" s="60" t="n"/>
      <c r="G30" s="61" t="n"/>
      <c r="H30" s="69">
        <f>IF(OR(A30="",C30=""),"",COUNTIFS($A$7:$A$1006,A30,$C$7:$C$1006,"&lt;"&amp;C30)+1)</f>
        <v/>
      </c>
      <c r="I30" s="67">
        <f>IF(H30="","",IF(H30=1,"",C30-_xlfn.MAXIFS($C$7:$C$1006,$A$7:$A$1006,A30,$C$7:$C$1006,"&lt;"&amp;C30)))</f>
        <v/>
      </c>
      <c r="J30" s="68">
        <f>IF(I30="","",I30/TpM)</f>
        <v/>
      </c>
      <c r="K30" s="69">
        <f>IF(H30="","",COUNTIFS($A$7:$A$1006,A30,$C$7:$C$1006,"&gt;0")-H30)</f>
        <v/>
      </c>
      <c r="L30" s="69">
        <f>IF(H30="","",A30&amp;"|"&amp;H30)</f>
        <v/>
      </c>
      <c r="M30" s="69">
        <f>IF(A30="","",IFERROR(INDEX(Bestand!$AC$14:$AC$213,MATCH(A30,Bestand!$A$14:$A$213,0)),0))</f>
        <v/>
      </c>
      <c r="N30" s="69">
        <f>IF(OR(H30="",M30&lt;&gt;1),"",C30+ROW()/100000)</f>
        <v/>
      </c>
    </row>
    <row r="31" ht="20" customHeight="1">
      <c r="A31" s="60" t="n"/>
      <c r="B31" s="65">
        <f>IF(A31="","",IFERROR(INDEX(Bestand!$B$14:$B$213,MATCH(A31,Bestand!$A$14:$A$213,0)),"ID unbekannt"))</f>
        <v/>
      </c>
      <c r="C31" s="63" t="n"/>
      <c r="D31" s="62" t="n"/>
      <c r="E31" s="60" t="n"/>
      <c r="F31" s="60" t="n"/>
      <c r="G31" s="61" t="n"/>
      <c r="H31" s="69">
        <f>IF(OR(A31="",C31=""),"",COUNTIFS($A$7:$A$1006,A31,$C$7:$C$1006,"&lt;"&amp;C31)+1)</f>
        <v/>
      </c>
      <c r="I31" s="67">
        <f>IF(H31="","",IF(H31=1,"",C31-_xlfn.MAXIFS($C$7:$C$1006,$A$7:$A$1006,A31,$C$7:$C$1006,"&lt;"&amp;C31)))</f>
        <v/>
      </c>
      <c r="J31" s="68">
        <f>IF(I31="","",I31/TpM)</f>
        <v/>
      </c>
      <c r="K31" s="69">
        <f>IF(H31="","",COUNTIFS($A$7:$A$1006,A31,$C$7:$C$1006,"&gt;0")-H31)</f>
        <v/>
      </c>
      <c r="L31" s="69">
        <f>IF(H31="","",A31&amp;"|"&amp;H31)</f>
        <v/>
      </c>
      <c r="M31" s="69">
        <f>IF(A31="","",IFERROR(INDEX(Bestand!$AC$14:$AC$213,MATCH(A31,Bestand!$A$14:$A$213,0)),0))</f>
        <v/>
      </c>
      <c r="N31" s="69">
        <f>IF(OR(H31="",M31&lt;&gt;1),"",C31+ROW()/100000)</f>
        <v/>
      </c>
    </row>
    <row r="32" ht="20" customHeight="1">
      <c r="A32" s="60" t="n"/>
      <c r="B32" s="65">
        <f>IF(A32="","",IFERROR(INDEX(Bestand!$B$14:$B$213,MATCH(A32,Bestand!$A$14:$A$213,0)),"ID unbekannt"))</f>
        <v/>
      </c>
      <c r="C32" s="63" t="n"/>
      <c r="D32" s="62" t="n"/>
      <c r="E32" s="60" t="n"/>
      <c r="F32" s="60" t="n"/>
      <c r="G32" s="61" t="n"/>
      <c r="H32" s="69">
        <f>IF(OR(A32="",C32=""),"",COUNTIFS($A$7:$A$1006,A32,$C$7:$C$1006,"&lt;"&amp;C32)+1)</f>
        <v/>
      </c>
      <c r="I32" s="67">
        <f>IF(H32="","",IF(H32=1,"",C32-_xlfn.MAXIFS($C$7:$C$1006,$A$7:$A$1006,A32,$C$7:$C$1006,"&lt;"&amp;C32)))</f>
        <v/>
      </c>
      <c r="J32" s="68">
        <f>IF(I32="","",I32/TpM)</f>
        <v/>
      </c>
      <c r="K32" s="69">
        <f>IF(H32="","",COUNTIFS($A$7:$A$1006,A32,$C$7:$C$1006,"&gt;0")-H32)</f>
        <v/>
      </c>
      <c r="L32" s="69">
        <f>IF(H32="","",A32&amp;"|"&amp;H32)</f>
        <v/>
      </c>
      <c r="M32" s="69">
        <f>IF(A32="","",IFERROR(INDEX(Bestand!$AC$14:$AC$213,MATCH(A32,Bestand!$A$14:$A$213,0)),0))</f>
        <v/>
      </c>
      <c r="N32" s="69">
        <f>IF(OR(H32="",M32&lt;&gt;1),"",C32+ROW()/100000)</f>
        <v/>
      </c>
    </row>
    <row r="33" ht="20" customHeight="1">
      <c r="A33" s="60" t="n"/>
      <c r="B33" s="65">
        <f>IF(A33="","",IFERROR(INDEX(Bestand!$B$14:$B$213,MATCH(A33,Bestand!$A$14:$A$213,0)),"ID unbekannt"))</f>
        <v/>
      </c>
      <c r="C33" s="63" t="n"/>
      <c r="D33" s="62" t="n"/>
      <c r="E33" s="60" t="n"/>
      <c r="F33" s="60" t="n"/>
      <c r="G33" s="61" t="n"/>
      <c r="H33" s="69">
        <f>IF(OR(A33="",C33=""),"",COUNTIFS($A$7:$A$1006,A33,$C$7:$C$1006,"&lt;"&amp;C33)+1)</f>
        <v/>
      </c>
      <c r="I33" s="67">
        <f>IF(H33="","",IF(H33=1,"",C33-_xlfn.MAXIFS($C$7:$C$1006,$A$7:$A$1006,A33,$C$7:$C$1006,"&lt;"&amp;C33)))</f>
        <v/>
      </c>
      <c r="J33" s="68">
        <f>IF(I33="","",I33/TpM)</f>
        <v/>
      </c>
      <c r="K33" s="69">
        <f>IF(H33="","",COUNTIFS($A$7:$A$1006,A33,$C$7:$C$1006,"&gt;0")-H33)</f>
        <v/>
      </c>
      <c r="L33" s="69">
        <f>IF(H33="","",A33&amp;"|"&amp;H33)</f>
        <v/>
      </c>
      <c r="M33" s="69">
        <f>IF(A33="","",IFERROR(INDEX(Bestand!$AC$14:$AC$213,MATCH(A33,Bestand!$A$14:$A$213,0)),0))</f>
        <v/>
      </c>
      <c r="N33" s="69">
        <f>IF(OR(H33="",M33&lt;&gt;1),"",C33+ROW()/100000)</f>
        <v/>
      </c>
    </row>
    <row r="34" ht="20" customHeight="1">
      <c r="A34" s="60" t="n"/>
      <c r="B34" s="65">
        <f>IF(A34="","",IFERROR(INDEX(Bestand!$B$14:$B$213,MATCH(A34,Bestand!$A$14:$A$213,0)),"ID unbekannt"))</f>
        <v/>
      </c>
      <c r="C34" s="63" t="n"/>
      <c r="D34" s="62" t="n"/>
      <c r="E34" s="60" t="n"/>
      <c r="F34" s="60" t="n"/>
      <c r="G34" s="61" t="n"/>
      <c r="H34" s="69">
        <f>IF(OR(A34="",C34=""),"",COUNTIFS($A$7:$A$1006,A34,$C$7:$C$1006,"&lt;"&amp;C34)+1)</f>
        <v/>
      </c>
      <c r="I34" s="67">
        <f>IF(H34="","",IF(H34=1,"",C34-_xlfn.MAXIFS($C$7:$C$1006,$A$7:$A$1006,A34,$C$7:$C$1006,"&lt;"&amp;C34)))</f>
        <v/>
      </c>
      <c r="J34" s="68">
        <f>IF(I34="","",I34/TpM)</f>
        <v/>
      </c>
      <c r="K34" s="69">
        <f>IF(H34="","",COUNTIFS($A$7:$A$1006,A34,$C$7:$C$1006,"&gt;0")-H34)</f>
        <v/>
      </c>
      <c r="L34" s="69">
        <f>IF(H34="","",A34&amp;"|"&amp;H34)</f>
        <v/>
      </c>
      <c r="M34" s="69">
        <f>IF(A34="","",IFERROR(INDEX(Bestand!$AC$14:$AC$213,MATCH(A34,Bestand!$A$14:$A$213,0)),0))</f>
        <v/>
      </c>
      <c r="N34" s="69">
        <f>IF(OR(H34="",M34&lt;&gt;1),"",C34+ROW()/100000)</f>
        <v/>
      </c>
    </row>
    <row r="35" ht="20" customHeight="1">
      <c r="A35" s="60" t="n"/>
      <c r="B35" s="65">
        <f>IF(A35="","",IFERROR(INDEX(Bestand!$B$14:$B$213,MATCH(A35,Bestand!$A$14:$A$213,0)),"ID unbekannt"))</f>
        <v/>
      </c>
      <c r="C35" s="63" t="n"/>
      <c r="D35" s="62" t="n"/>
      <c r="E35" s="60" t="n"/>
      <c r="F35" s="60" t="n"/>
      <c r="G35" s="61" t="n"/>
      <c r="H35" s="69">
        <f>IF(OR(A35="",C35=""),"",COUNTIFS($A$7:$A$1006,A35,$C$7:$C$1006,"&lt;"&amp;C35)+1)</f>
        <v/>
      </c>
      <c r="I35" s="67">
        <f>IF(H35="","",IF(H35=1,"",C35-_xlfn.MAXIFS($C$7:$C$1006,$A$7:$A$1006,A35,$C$7:$C$1006,"&lt;"&amp;C35)))</f>
        <v/>
      </c>
      <c r="J35" s="68">
        <f>IF(I35="","",I35/TpM)</f>
        <v/>
      </c>
      <c r="K35" s="69">
        <f>IF(H35="","",COUNTIFS($A$7:$A$1006,A35,$C$7:$C$1006,"&gt;0")-H35)</f>
        <v/>
      </c>
      <c r="L35" s="69">
        <f>IF(H35="","",A35&amp;"|"&amp;H35)</f>
        <v/>
      </c>
      <c r="M35" s="69">
        <f>IF(A35="","",IFERROR(INDEX(Bestand!$AC$14:$AC$213,MATCH(A35,Bestand!$A$14:$A$213,0)),0))</f>
        <v/>
      </c>
      <c r="N35" s="69">
        <f>IF(OR(H35="",M35&lt;&gt;1),"",C35+ROW()/100000)</f>
        <v/>
      </c>
    </row>
    <row r="36" ht="20" customHeight="1">
      <c r="A36" s="60" t="n"/>
      <c r="B36" s="65">
        <f>IF(A36="","",IFERROR(INDEX(Bestand!$B$14:$B$213,MATCH(A36,Bestand!$A$14:$A$213,0)),"ID unbekannt"))</f>
        <v/>
      </c>
      <c r="C36" s="63" t="n"/>
      <c r="D36" s="62" t="n"/>
      <c r="E36" s="60" t="n"/>
      <c r="F36" s="60" t="n"/>
      <c r="G36" s="61" t="n"/>
      <c r="H36" s="69">
        <f>IF(OR(A36="",C36=""),"",COUNTIFS($A$7:$A$1006,A36,$C$7:$C$1006,"&lt;"&amp;C36)+1)</f>
        <v/>
      </c>
      <c r="I36" s="67">
        <f>IF(H36="","",IF(H36=1,"",C36-_xlfn.MAXIFS($C$7:$C$1006,$A$7:$A$1006,A36,$C$7:$C$1006,"&lt;"&amp;C36)))</f>
        <v/>
      </c>
      <c r="J36" s="68">
        <f>IF(I36="","",I36/TpM)</f>
        <v/>
      </c>
      <c r="K36" s="69">
        <f>IF(H36="","",COUNTIFS($A$7:$A$1006,A36,$C$7:$C$1006,"&gt;0")-H36)</f>
        <v/>
      </c>
      <c r="L36" s="69">
        <f>IF(H36="","",A36&amp;"|"&amp;H36)</f>
        <v/>
      </c>
      <c r="M36" s="69">
        <f>IF(A36="","",IFERROR(INDEX(Bestand!$AC$14:$AC$213,MATCH(A36,Bestand!$A$14:$A$213,0)),0))</f>
        <v/>
      </c>
      <c r="N36" s="69">
        <f>IF(OR(H36="",M36&lt;&gt;1),"",C36+ROW()/100000)</f>
        <v/>
      </c>
    </row>
    <row r="37" ht="20" customHeight="1">
      <c r="A37" s="60" t="n"/>
      <c r="B37" s="65">
        <f>IF(A37="","",IFERROR(INDEX(Bestand!$B$14:$B$213,MATCH(A37,Bestand!$A$14:$A$213,0)),"ID unbekannt"))</f>
        <v/>
      </c>
      <c r="C37" s="63" t="n"/>
      <c r="D37" s="62" t="n"/>
      <c r="E37" s="60" t="n"/>
      <c r="F37" s="60" t="n"/>
      <c r="G37" s="61" t="n"/>
      <c r="H37" s="69">
        <f>IF(OR(A37="",C37=""),"",COUNTIFS($A$7:$A$1006,A37,$C$7:$C$1006,"&lt;"&amp;C37)+1)</f>
        <v/>
      </c>
      <c r="I37" s="67">
        <f>IF(H37="","",IF(H37=1,"",C37-_xlfn.MAXIFS($C$7:$C$1006,$A$7:$A$1006,A37,$C$7:$C$1006,"&lt;"&amp;C37)))</f>
        <v/>
      </c>
      <c r="J37" s="68">
        <f>IF(I37="","",I37/TpM)</f>
        <v/>
      </c>
      <c r="K37" s="69">
        <f>IF(H37="","",COUNTIFS($A$7:$A$1006,A37,$C$7:$C$1006,"&gt;0")-H37)</f>
        <v/>
      </c>
      <c r="L37" s="69">
        <f>IF(H37="","",A37&amp;"|"&amp;H37)</f>
        <v/>
      </c>
      <c r="M37" s="69">
        <f>IF(A37="","",IFERROR(INDEX(Bestand!$AC$14:$AC$213,MATCH(A37,Bestand!$A$14:$A$213,0)),0))</f>
        <v/>
      </c>
      <c r="N37" s="69">
        <f>IF(OR(H37="",M37&lt;&gt;1),"",C37+ROW()/100000)</f>
        <v/>
      </c>
    </row>
    <row r="38" ht="20" customHeight="1">
      <c r="A38" s="60" t="n"/>
      <c r="B38" s="65">
        <f>IF(A38="","",IFERROR(INDEX(Bestand!$B$14:$B$213,MATCH(A38,Bestand!$A$14:$A$213,0)),"ID unbekannt"))</f>
        <v/>
      </c>
      <c r="C38" s="63" t="n"/>
      <c r="D38" s="62" t="n"/>
      <c r="E38" s="60" t="n"/>
      <c r="F38" s="60" t="n"/>
      <c r="G38" s="61" t="n"/>
      <c r="H38" s="69">
        <f>IF(OR(A38="",C38=""),"",COUNTIFS($A$7:$A$1006,A38,$C$7:$C$1006,"&lt;"&amp;C38)+1)</f>
        <v/>
      </c>
      <c r="I38" s="67">
        <f>IF(H38="","",IF(H38=1,"",C38-_xlfn.MAXIFS($C$7:$C$1006,$A$7:$A$1006,A38,$C$7:$C$1006,"&lt;"&amp;C38)))</f>
        <v/>
      </c>
      <c r="J38" s="68">
        <f>IF(I38="","",I38/TpM)</f>
        <v/>
      </c>
      <c r="K38" s="69">
        <f>IF(H38="","",COUNTIFS($A$7:$A$1006,A38,$C$7:$C$1006,"&gt;0")-H38)</f>
        <v/>
      </c>
      <c r="L38" s="69">
        <f>IF(H38="","",A38&amp;"|"&amp;H38)</f>
        <v/>
      </c>
      <c r="M38" s="69">
        <f>IF(A38="","",IFERROR(INDEX(Bestand!$AC$14:$AC$213,MATCH(A38,Bestand!$A$14:$A$213,0)),0))</f>
        <v/>
      </c>
      <c r="N38" s="69">
        <f>IF(OR(H38="",M38&lt;&gt;1),"",C38+ROW()/100000)</f>
        <v/>
      </c>
    </row>
    <row r="39" ht="20" customHeight="1">
      <c r="A39" s="60" t="n"/>
      <c r="B39" s="65">
        <f>IF(A39="","",IFERROR(INDEX(Bestand!$B$14:$B$213,MATCH(A39,Bestand!$A$14:$A$213,0)),"ID unbekannt"))</f>
        <v/>
      </c>
      <c r="C39" s="63" t="n"/>
      <c r="D39" s="62" t="n"/>
      <c r="E39" s="60" t="n"/>
      <c r="F39" s="60" t="n"/>
      <c r="G39" s="61" t="n"/>
      <c r="H39" s="69">
        <f>IF(OR(A39="",C39=""),"",COUNTIFS($A$7:$A$1006,A39,$C$7:$C$1006,"&lt;"&amp;C39)+1)</f>
        <v/>
      </c>
      <c r="I39" s="67">
        <f>IF(H39="","",IF(H39=1,"",C39-_xlfn.MAXIFS($C$7:$C$1006,$A$7:$A$1006,A39,$C$7:$C$1006,"&lt;"&amp;C39)))</f>
        <v/>
      </c>
      <c r="J39" s="68">
        <f>IF(I39="","",I39/TpM)</f>
        <v/>
      </c>
      <c r="K39" s="69">
        <f>IF(H39="","",COUNTIFS($A$7:$A$1006,A39,$C$7:$C$1006,"&gt;0")-H39)</f>
        <v/>
      </c>
      <c r="L39" s="69">
        <f>IF(H39="","",A39&amp;"|"&amp;H39)</f>
        <v/>
      </c>
      <c r="M39" s="69">
        <f>IF(A39="","",IFERROR(INDEX(Bestand!$AC$14:$AC$213,MATCH(A39,Bestand!$A$14:$A$213,0)),0))</f>
        <v/>
      </c>
      <c r="N39" s="69">
        <f>IF(OR(H39="",M39&lt;&gt;1),"",C39+ROW()/100000)</f>
        <v/>
      </c>
    </row>
    <row r="40" ht="20" customHeight="1">
      <c r="A40" s="60" t="n"/>
      <c r="B40" s="65">
        <f>IF(A40="","",IFERROR(INDEX(Bestand!$B$14:$B$213,MATCH(A40,Bestand!$A$14:$A$213,0)),"ID unbekannt"))</f>
        <v/>
      </c>
      <c r="C40" s="63" t="n"/>
      <c r="D40" s="62" t="n"/>
      <c r="E40" s="60" t="n"/>
      <c r="F40" s="60" t="n"/>
      <c r="G40" s="61" t="n"/>
      <c r="H40" s="69">
        <f>IF(OR(A40="",C40=""),"",COUNTIFS($A$7:$A$1006,A40,$C$7:$C$1006,"&lt;"&amp;C40)+1)</f>
        <v/>
      </c>
      <c r="I40" s="67">
        <f>IF(H40="","",IF(H40=1,"",C40-_xlfn.MAXIFS($C$7:$C$1006,$A$7:$A$1006,A40,$C$7:$C$1006,"&lt;"&amp;C40)))</f>
        <v/>
      </c>
      <c r="J40" s="68">
        <f>IF(I40="","",I40/TpM)</f>
        <v/>
      </c>
      <c r="K40" s="69">
        <f>IF(H40="","",COUNTIFS($A$7:$A$1006,A40,$C$7:$C$1006,"&gt;0")-H40)</f>
        <v/>
      </c>
      <c r="L40" s="69">
        <f>IF(H40="","",A40&amp;"|"&amp;H40)</f>
        <v/>
      </c>
      <c r="M40" s="69">
        <f>IF(A40="","",IFERROR(INDEX(Bestand!$AC$14:$AC$213,MATCH(A40,Bestand!$A$14:$A$213,0)),0))</f>
        <v/>
      </c>
      <c r="N40" s="69">
        <f>IF(OR(H40="",M40&lt;&gt;1),"",C40+ROW()/100000)</f>
        <v/>
      </c>
    </row>
    <row r="41" ht="20" customHeight="1">
      <c r="A41" s="60" t="n"/>
      <c r="B41" s="65">
        <f>IF(A41="","",IFERROR(INDEX(Bestand!$B$14:$B$213,MATCH(A41,Bestand!$A$14:$A$213,0)),"ID unbekannt"))</f>
        <v/>
      </c>
      <c r="C41" s="63" t="n"/>
      <c r="D41" s="62" t="n"/>
      <c r="E41" s="60" t="n"/>
      <c r="F41" s="60" t="n"/>
      <c r="G41" s="61" t="n"/>
      <c r="H41" s="69">
        <f>IF(OR(A41="",C41=""),"",COUNTIFS($A$7:$A$1006,A41,$C$7:$C$1006,"&lt;"&amp;C41)+1)</f>
        <v/>
      </c>
      <c r="I41" s="67">
        <f>IF(H41="","",IF(H41=1,"",C41-_xlfn.MAXIFS($C$7:$C$1006,$A$7:$A$1006,A41,$C$7:$C$1006,"&lt;"&amp;C41)))</f>
        <v/>
      </c>
      <c r="J41" s="68">
        <f>IF(I41="","",I41/TpM)</f>
        <v/>
      </c>
      <c r="K41" s="69">
        <f>IF(H41="","",COUNTIFS($A$7:$A$1006,A41,$C$7:$C$1006,"&gt;0")-H41)</f>
        <v/>
      </c>
      <c r="L41" s="69">
        <f>IF(H41="","",A41&amp;"|"&amp;H41)</f>
        <v/>
      </c>
      <c r="M41" s="69">
        <f>IF(A41="","",IFERROR(INDEX(Bestand!$AC$14:$AC$213,MATCH(A41,Bestand!$A$14:$A$213,0)),0))</f>
        <v/>
      </c>
      <c r="N41" s="69">
        <f>IF(OR(H41="",M41&lt;&gt;1),"",C41+ROW()/100000)</f>
        <v/>
      </c>
    </row>
    <row r="42" ht="20" customHeight="1">
      <c r="A42" s="60" t="n"/>
      <c r="B42" s="65">
        <f>IF(A42="","",IFERROR(INDEX(Bestand!$B$14:$B$213,MATCH(A42,Bestand!$A$14:$A$213,0)),"ID unbekannt"))</f>
        <v/>
      </c>
      <c r="C42" s="63" t="n"/>
      <c r="D42" s="62" t="n"/>
      <c r="E42" s="60" t="n"/>
      <c r="F42" s="60" t="n"/>
      <c r="G42" s="61" t="n"/>
      <c r="H42" s="69">
        <f>IF(OR(A42="",C42=""),"",COUNTIFS($A$7:$A$1006,A42,$C$7:$C$1006,"&lt;"&amp;C42)+1)</f>
        <v/>
      </c>
      <c r="I42" s="67">
        <f>IF(H42="","",IF(H42=1,"",C42-_xlfn.MAXIFS($C$7:$C$1006,$A$7:$A$1006,A42,$C$7:$C$1006,"&lt;"&amp;C42)))</f>
        <v/>
      </c>
      <c r="J42" s="68">
        <f>IF(I42="","",I42/TpM)</f>
        <v/>
      </c>
      <c r="K42" s="69">
        <f>IF(H42="","",COUNTIFS($A$7:$A$1006,A42,$C$7:$C$1006,"&gt;0")-H42)</f>
        <v/>
      </c>
      <c r="L42" s="69">
        <f>IF(H42="","",A42&amp;"|"&amp;H42)</f>
        <v/>
      </c>
      <c r="M42" s="69">
        <f>IF(A42="","",IFERROR(INDEX(Bestand!$AC$14:$AC$213,MATCH(A42,Bestand!$A$14:$A$213,0)),0))</f>
        <v/>
      </c>
      <c r="N42" s="69">
        <f>IF(OR(H42="",M42&lt;&gt;1),"",C42+ROW()/100000)</f>
        <v/>
      </c>
    </row>
    <row r="43" ht="20" customHeight="1">
      <c r="A43" s="60" t="n"/>
      <c r="B43" s="65">
        <f>IF(A43="","",IFERROR(INDEX(Bestand!$B$14:$B$213,MATCH(A43,Bestand!$A$14:$A$213,0)),"ID unbekannt"))</f>
        <v/>
      </c>
      <c r="C43" s="63" t="n"/>
      <c r="D43" s="62" t="n"/>
      <c r="E43" s="60" t="n"/>
      <c r="F43" s="60" t="n"/>
      <c r="G43" s="61" t="n"/>
      <c r="H43" s="69">
        <f>IF(OR(A43="",C43=""),"",COUNTIFS($A$7:$A$1006,A43,$C$7:$C$1006,"&lt;"&amp;C43)+1)</f>
        <v/>
      </c>
      <c r="I43" s="67">
        <f>IF(H43="","",IF(H43=1,"",C43-_xlfn.MAXIFS($C$7:$C$1006,$A$7:$A$1006,A43,$C$7:$C$1006,"&lt;"&amp;C43)))</f>
        <v/>
      </c>
      <c r="J43" s="68">
        <f>IF(I43="","",I43/TpM)</f>
        <v/>
      </c>
      <c r="K43" s="69">
        <f>IF(H43="","",COUNTIFS($A$7:$A$1006,A43,$C$7:$C$1006,"&gt;0")-H43)</f>
        <v/>
      </c>
      <c r="L43" s="69">
        <f>IF(H43="","",A43&amp;"|"&amp;H43)</f>
        <v/>
      </c>
      <c r="M43" s="69">
        <f>IF(A43="","",IFERROR(INDEX(Bestand!$AC$14:$AC$213,MATCH(A43,Bestand!$A$14:$A$213,0)),0))</f>
        <v/>
      </c>
      <c r="N43" s="69">
        <f>IF(OR(H43="",M43&lt;&gt;1),"",C43+ROW()/100000)</f>
        <v/>
      </c>
    </row>
    <row r="44" ht="20" customHeight="1">
      <c r="A44" s="60" t="n"/>
      <c r="B44" s="65">
        <f>IF(A44="","",IFERROR(INDEX(Bestand!$B$14:$B$213,MATCH(A44,Bestand!$A$14:$A$213,0)),"ID unbekannt"))</f>
        <v/>
      </c>
      <c r="C44" s="63" t="n"/>
      <c r="D44" s="62" t="n"/>
      <c r="E44" s="60" t="n"/>
      <c r="F44" s="60" t="n"/>
      <c r="G44" s="61" t="n"/>
      <c r="H44" s="69">
        <f>IF(OR(A44="",C44=""),"",COUNTIFS($A$7:$A$1006,A44,$C$7:$C$1006,"&lt;"&amp;C44)+1)</f>
        <v/>
      </c>
      <c r="I44" s="67">
        <f>IF(H44="","",IF(H44=1,"",C44-_xlfn.MAXIFS($C$7:$C$1006,$A$7:$A$1006,A44,$C$7:$C$1006,"&lt;"&amp;C44)))</f>
        <v/>
      </c>
      <c r="J44" s="68">
        <f>IF(I44="","",I44/TpM)</f>
        <v/>
      </c>
      <c r="K44" s="69">
        <f>IF(H44="","",COUNTIFS($A$7:$A$1006,A44,$C$7:$C$1006,"&gt;0")-H44)</f>
        <v/>
      </c>
      <c r="L44" s="69">
        <f>IF(H44="","",A44&amp;"|"&amp;H44)</f>
        <v/>
      </c>
      <c r="M44" s="69">
        <f>IF(A44="","",IFERROR(INDEX(Bestand!$AC$14:$AC$213,MATCH(A44,Bestand!$A$14:$A$213,0)),0))</f>
        <v/>
      </c>
      <c r="N44" s="69">
        <f>IF(OR(H44="",M44&lt;&gt;1),"",C44+ROW()/100000)</f>
        <v/>
      </c>
    </row>
    <row r="45" ht="20" customHeight="1">
      <c r="A45" s="60" t="n"/>
      <c r="B45" s="65">
        <f>IF(A45="","",IFERROR(INDEX(Bestand!$B$14:$B$213,MATCH(A45,Bestand!$A$14:$A$213,0)),"ID unbekannt"))</f>
        <v/>
      </c>
      <c r="C45" s="63" t="n"/>
      <c r="D45" s="62" t="n"/>
      <c r="E45" s="60" t="n"/>
      <c r="F45" s="60" t="n"/>
      <c r="G45" s="61" t="n"/>
      <c r="H45" s="69">
        <f>IF(OR(A45="",C45=""),"",COUNTIFS($A$7:$A$1006,A45,$C$7:$C$1006,"&lt;"&amp;C45)+1)</f>
        <v/>
      </c>
      <c r="I45" s="67">
        <f>IF(H45="","",IF(H45=1,"",C45-_xlfn.MAXIFS($C$7:$C$1006,$A$7:$A$1006,A45,$C$7:$C$1006,"&lt;"&amp;C45)))</f>
        <v/>
      </c>
      <c r="J45" s="68">
        <f>IF(I45="","",I45/TpM)</f>
        <v/>
      </c>
      <c r="K45" s="69">
        <f>IF(H45="","",COUNTIFS($A$7:$A$1006,A45,$C$7:$C$1006,"&gt;0")-H45)</f>
        <v/>
      </c>
      <c r="L45" s="69">
        <f>IF(H45="","",A45&amp;"|"&amp;H45)</f>
        <v/>
      </c>
      <c r="M45" s="69">
        <f>IF(A45="","",IFERROR(INDEX(Bestand!$AC$14:$AC$213,MATCH(A45,Bestand!$A$14:$A$213,0)),0))</f>
        <v/>
      </c>
      <c r="N45" s="69">
        <f>IF(OR(H45="",M45&lt;&gt;1),"",C45+ROW()/100000)</f>
        <v/>
      </c>
    </row>
    <row r="46" ht="20" customHeight="1">
      <c r="A46" s="60" t="n"/>
      <c r="B46" s="65">
        <f>IF(A46="","",IFERROR(INDEX(Bestand!$B$14:$B$213,MATCH(A46,Bestand!$A$14:$A$213,0)),"ID unbekannt"))</f>
        <v/>
      </c>
      <c r="C46" s="63" t="n"/>
      <c r="D46" s="62" t="n"/>
      <c r="E46" s="60" t="n"/>
      <c r="F46" s="60" t="n"/>
      <c r="G46" s="61" t="n"/>
      <c r="H46" s="69">
        <f>IF(OR(A46="",C46=""),"",COUNTIFS($A$7:$A$1006,A46,$C$7:$C$1006,"&lt;"&amp;C46)+1)</f>
        <v/>
      </c>
      <c r="I46" s="67">
        <f>IF(H46="","",IF(H46=1,"",C46-_xlfn.MAXIFS($C$7:$C$1006,$A$7:$A$1006,A46,$C$7:$C$1006,"&lt;"&amp;C46)))</f>
        <v/>
      </c>
      <c r="J46" s="68">
        <f>IF(I46="","",I46/TpM)</f>
        <v/>
      </c>
      <c r="K46" s="69">
        <f>IF(H46="","",COUNTIFS($A$7:$A$1006,A46,$C$7:$C$1006,"&gt;0")-H46)</f>
        <v/>
      </c>
      <c r="L46" s="69">
        <f>IF(H46="","",A46&amp;"|"&amp;H46)</f>
        <v/>
      </c>
      <c r="M46" s="69">
        <f>IF(A46="","",IFERROR(INDEX(Bestand!$AC$14:$AC$213,MATCH(A46,Bestand!$A$14:$A$213,0)),0))</f>
        <v/>
      </c>
      <c r="N46" s="69">
        <f>IF(OR(H46="",M46&lt;&gt;1),"",C46+ROW()/100000)</f>
        <v/>
      </c>
    </row>
    <row r="47" ht="20" customHeight="1">
      <c r="A47" s="60" t="n"/>
      <c r="B47" s="65">
        <f>IF(A47="","",IFERROR(INDEX(Bestand!$B$14:$B$213,MATCH(A47,Bestand!$A$14:$A$213,0)),"ID unbekannt"))</f>
        <v/>
      </c>
      <c r="C47" s="63" t="n"/>
      <c r="D47" s="62" t="n"/>
      <c r="E47" s="60" t="n"/>
      <c r="F47" s="60" t="n"/>
      <c r="G47" s="61" t="n"/>
      <c r="H47" s="69">
        <f>IF(OR(A47="",C47=""),"",COUNTIFS($A$7:$A$1006,A47,$C$7:$C$1006,"&lt;"&amp;C47)+1)</f>
        <v/>
      </c>
      <c r="I47" s="67">
        <f>IF(H47="","",IF(H47=1,"",C47-_xlfn.MAXIFS($C$7:$C$1006,$A$7:$A$1006,A47,$C$7:$C$1006,"&lt;"&amp;C47)))</f>
        <v/>
      </c>
      <c r="J47" s="68">
        <f>IF(I47="","",I47/TpM)</f>
        <v/>
      </c>
      <c r="K47" s="69">
        <f>IF(H47="","",COUNTIFS($A$7:$A$1006,A47,$C$7:$C$1006,"&gt;0")-H47)</f>
        <v/>
      </c>
      <c r="L47" s="69">
        <f>IF(H47="","",A47&amp;"|"&amp;H47)</f>
        <v/>
      </c>
      <c r="M47" s="69">
        <f>IF(A47="","",IFERROR(INDEX(Bestand!$AC$14:$AC$213,MATCH(A47,Bestand!$A$14:$A$213,0)),0))</f>
        <v/>
      </c>
      <c r="N47" s="69">
        <f>IF(OR(H47="",M47&lt;&gt;1),"",C47+ROW()/100000)</f>
        <v/>
      </c>
    </row>
    <row r="48" ht="20" customHeight="1">
      <c r="A48" s="60" t="n"/>
      <c r="B48" s="65">
        <f>IF(A48="","",IFERROR(INDEX(Bestand!$B$14:$B$213,MATCH(A48,Bestand!$A$14:$A$213,0)),"ID unbekannt"))</f>
        <v/>
      </c>
      <c r="C48" s="63" t="n"/>
      <c r="D48" s="62" t="n"/>
      <c r="E48" s="60" t="n"/>
      <c r="F48" s="60" t="n"/>
      <c r="G48" s="61" t="n"/>
      <c r="H48" s="69">
        <f>IF(OR(A48="",C48=""),"",COUNTIFS($A$7:$A$1006,A48,$C$7:$C$1006,"&lt;"&amp;C48)+1)</f>
        <v/>
      </c>
      <c r="I48" s="67">
        <f>IF(H48="","",IF(H48=1,"",C48-_xlfn.MAXIFS($C$7:$C$1006,$A$7:$A$1006,A48,$C$7:$C$1006,"&lt;"&amp;C48)))</f>
        <v/>
      </c>
      <c r="J48" s="68">
        <f>IF(I48="","",I48/TpM)</f>
        <v/>
      </c>
      <c r="K48" s="69">
        <f>IF(H48="","",COUNTIFS($A$7:$A$1006,A48,$C$7:$C$1006,"&gt;0")-H48)</f>
        <v/>
      </c>
      <c r="L48" s="69">
        <f>IF(H48="","",A48&amp;"|"&amp;H48)</f>
        <v/>
      </c>
      <c r="M48" s="69">
        <f>IF(A48="","",IFERROR(INDEX(Bestand!$AC$14:$AC$213,MATCH(A48,Bestand!$A$14:$A$213,0)),0))</f>
        <v/>
      </c>
      <c r="N48" s="69">
        <f>IF(OR(H48="",M48&lt;&gt;1),"",C48+ROW()/100000)</f>
        <v/>
      </c>
    </row>
    <row r="49" ht="20" customHeight="1">
      <c r="A49" s="60" t="n"/>
      <c r="B49" s="65">
        <f>IF(A49="","",IFERROR(INDEX(Bestand!$B$14:$B$213,MATCH(A49,Bestand!$A$14:$A$213,0)),"ID unbekannt"))</f>
        <v/>
      </c>
      <c r="C49" s="63" t="n"/>
      <c r="D49" s="62" t="n"/>
      <c r="E49" s="60" t="n"/>
      <c r="F49" s="60" t="n"/>
      <c r="G49" s="61" t="n"/>
      <c r="H49" s="69">
        <f>IF(OR(A49="",C49=""),"",COUNTIFS($A$7:$A$1006,A49,$C$7:$C$1006,"&lt;"&amp;C49)+1)</f>
        <v/>
      </c>
      <c r="I49" s="67">
        <f>IF(H49="","",IF(H49=1,"",C49-_xlfn.MAXIFS($C$7:$C$1006,$A$7:$A$1006,A49,$C$7:$C$1006,"&lt;"&amp;C49)))</f>
        <v/>
      </c>
      <c r="J49" s="68">
        <f>IF(I49="","",I49/TpM)</f>
        <v/>
      </c>
      <c r="K49" s="69">
        <f>IF(H49="","",COUNTIFS($A$7:$A$1006,A49,$C$7:$C$1006,"&gt;0")-H49)</f>
        <v/>
      </c>
      <c r="L49" s="69">
        <f>IF(H49="","",A49&amp;"|"&amp;H49)</f>
        <v/>
      </c>
      <c r="M49" s="69">
        <f>IF(A49="","",IFERROR(INDEX(Bestand!$AC$14:$AC$213,MATCH(A49,Bestand!$A$14:$A$213,0)),0))</f>
        <v/>
      </c>
      <c r="N49" s="69">
        <f>IF(OR(H49="",M49&lt;&gt;1),"",C49+ROW()/100000)</f>
        <v/>
      </c>
    </row>
    <row r="50" ht="20" customHeight="1">
      <c r="A50" s="60" t="n"/>
      <c r="B50" s="65">
        <f>IF(A50="","",IFERROR(INDEX(Bestand!$B$14:$B$213,MATCH(A50,Bestand!$A$14:$A$213,0)),"ID unbekannt"))</f>
        <v/>
      </c>
      <c r="C50" s="63" t="n"/>
      <c r="D50" s="62" t="n"/>
      <c r="E50" s="60" t="n"/>
      <c r="F50" s="60" t="n"/>
      <c r="G50" s="61" t="n"/>
      <c r="H50" s="69">
        <f>IF(OR(A50="",C50=""),"",COUNTIFS($A$7:$A$1006,A50,$C$7:$C$1006,"&lt;"&amp;C50)+1)</f>
        <v/>
      </c>
      <c r="I50" s="67">
        <f>IF(H50="","",IF(H50=1,"",C50-_xlfn.MAXIFS($C$7:$C$1006,$A$7:$A$1006,A50,$C$7:$C$1006,"&lt;"&amp;C50)))</f>
        <v/>
      </c>
      <c r="J50" s="68">
        <f>IF(I50="","",I50/TpM)</f>
        <v/>
      </c>
      <c r="K50" s="69">
        <f>IF(H50="","",COUNTIFS($A$7:$A$1006,A50,$C$7:$C$1006,"&gt;0")-H50)</f>
        <v/>
      </c>
      <c r="L50" s="69">
        <f>IF(H50="","",A50&amp;"|"&amp;H50)</f>
        <v/>
      </c>
      <c r="M50" s="69">
        <f>IF(A50="","",IFERROR(INDEX(Bestand!$AC$14:$AC$213,MATCH(A50,Bestand!$A$14:$A$213,0)),0))</f>
        <v/>
      </c>
      <c r="N50" s="69">
        <f>IF(OR(H50="",M50&lt;&gt;1),"",C50+ROW()/100000)</f>
        <v/>
      </c>
    </row>
    <row r="51" ht="20" customHeight="1">
      <c r="A51" s="60" t="n"/>
      <c r="B51" s="65">
        <f>IF(A51="","",IFERROR(INDEX(Bestand!$B$14:$B$213,MATCH(A51,Bestand!$A$14:$A$213,0)),"ID unbekannt"))</f>
        <v/>
      </c>
      <c r="C51" s="63" t="n"/>
      <c r="D51" s="62" t="n"/>
      <c r="E51" s="60" t="n"/>
      <c r="F51" s="60" t="n"/>
      <c r="G51" s="61" t="n"/>
      <c r="H51" s="69">
        <f>IF(OR(A51="",C51=""),"",COUNTIFS($A$7:$A$1006,A51,$C$7:$C$1006,"&lt;"&amp;C51)+1)</f>
        <v/>
      </c>
      <c r="I51" s="67">
        <f>IF(H51="","",IF(H51=1,"",C51-_xlfn.MAXIFS($C$7:$C$1006,$A$7:$A$1006,A51,$C$7:$C$1006,"&lt;"&amp;C51)))</f>
        <v/>
      </c>
      <c r="J51" s="68">
        <f>IF(I51="","",I51/TpM)</f>
        <v/>
      </c>
      <c r="K51" s="69">
        <f>IF(H51="","",COUNTIFS($A$7:$A$1006,A51,$C$7:$C$1006,"&gt;0")-H51)</f>
        <v/>
      </c>
      <c r="L51" s="69">
        <f>IF(H51="","",A51&amp;"|"&amp;H51)</f>
        <v/>
      </c>
      <c r="M51" s="69">
        <f>IF(A51="","",IFERROR(INDEX(Bestand!$AC$14:$AC$213,MATCH(A51,Bestand!$A$14:$A$213,0)),0))</f>
        <v/>
      </c>
      <c r="N51" s="69">
        <f>IF(OR(H51="",M51&lt;&gt;1),"",C51+ROW()/100000)</f>
        <v/>
      </c>
    </row>
    <row r="52" ht="20" customHeight="1">
      <c r="A52" s="60" t="n"/>
      <c r="B52" s="65">
        <f>IF(A52="","",IFERROR(INDEX(Bestand!$B$14:$B$213,MATCH(A52,Bestand!$A$14:$A$213,0)),"ID unbekannt"))</f>
        <v/>
      </c>
      <c r="C52" s="63" t="n"/>
      <c r="D52" s="62" t="n"/>
      <c r="E52" s="60" t="n"/>
      <c r="F52" s="60" t="n"/>
      <c r="G52" s="61" t="n"/>
      <c r="H52" s="69">
        <f>IF(OR(A52="",C52=""),"",COUNTIFS($A$7:$A$1006,A52,$C$7:$C$1006,"&lt;"&amp;C52)+1)</f>
        <v/>
      </c>
      <c r="I52" s="67">
        <f>IF(H52="","",IF(H52=1,"",C52-_xlfn.MAXIFS($C$7:$C$1006,$A$7:$A$1006,A52,$C$7:$C$1006,"&lt;"&amp;C52)))</f>
        <v/>
      </c>
      <c r="J52" s="68">
        <f>IF(I52="","",I52/TpM)</f>
        <v/>
      </c>
      <c r="K52" s="69">
        <f>IF(H52="","",COUNTIFS($A$7:$A$1006,A52,$C$7:$C$1006,"&gt;0")-H52)</f>
        <v/>
      </c>
      <c r="L52" s="69">
        <f>IF(H52="","",A52&amp;"|"&amp;H52)</f>
        <v/>
      </c>
      <c r="M52" s="69">
        <f>IF(A52="","",IFERROR(INDEX(Bestand!$AC$14:$AC$213,MATCH(A52,Bestand!$A$14:$A$213,0)),0))</f>
        <v/>
      </c>
      <c r="N52" s="69">
        <f>IF(OR(H52="",M52&lt;&gt;1),"",C52+ROW()/100000)</f>
        <v/>
      </c>
    </row>
    <row r="53" ht="20" customHeight="1">
      <c r="A53" s="60" t="n"/>
      <c r="B53" s="65">
        <f>IF(A53="","",IFERROR(INDEX(Bestand!$B$14:$B$213,MATCH(A53,Bestand!$A$14:$A$213,0)),"ID unbekannt"))</f>
        <v/>
      </c>
      <c r="C53" s="63" t="n"/>
      <c r="D53" s="62" t="n"/>
      <c r="E53" s="60" t="n"/>
      <c r="F53" s="60" t="n"/>
      <c r="G53" s="61" t="n"/>
      <c r="H53" s="69">
        <f>IF(OR(A53="",C53=""),"",COUNTIFS($A$7:$A$1006,A53,$C$7:$C$1006,"&lt;"&amp;C53)+1)</f>
        <v/>
      </c>
      <c r="I53" s="67">
        <f>IF(H53="","",IF(H53=1,"",C53-_xlfn.MAXIFS($C$7:$C$1006,$A$7:$A$1006,A53,$C$7:$C$1006,"&lt;"&amp;C53)))</f>
        <v/>
      </c>
      <c r="J53" s="68">
        <f>IF(I53="","",I53/TpM)</f>
        <v/>
      </c>
      <c r="K53" s="69">
        <f>IF(H53="","",COUNTIFS($A$7:$A$1006,A53,$C$7:$C$1006,"&gt;0")-H53)</f>
        <v/>
      </c>
      <c r="L53" s="69">
        <f>IF(H53="","",A53&amp;"|"&amp;H53)</f>
        <v/>
      </c>
      <c r="M53" s="69">
        <f>IF(A53="","",IFERROR(INDEX(Bestand!$AC$14:$AC$213,MATCH(A53,Bestand!$A$14:$A$213,0)),0))</f>
        <v/>
      </c>
      <c r="N53" s="69">
        <f>IF(OR(H53="",M53&lt;&gt;1),"",C53+ROW()/100000)</f>
        <v/>
      </c>
    </row>
    <row r="54" ht="20" customHeight="1">
      <c r="A54" s="60" t="n"/>
      <c r="B54" s="65">
        <f>IF(A54="","",IFERROR(INDEX(Bestand!$B$14:$B$213,MATCH(A54,Bestand!$A$14:$A$213,0)),"ID unbekannt"))</f>
        <v/>
      </c>
      <c r="C54" s="63" t="n"/>
      <c r="D54" s="62" t="n"/>
      <c r="E54" s="60" t="n"/>
      <c r="F54" s="60" t="n"/>
      <c r="G54" s="61" t="n"/>
      <c r="H54" s="69">
        <f>IF(OR(A54="",C54=""),"",COUNTIFS($A$7:$A$1006,A54,$C$7:$C$1006,"&lt;"&amp;C54)+1)</f>
        <v/>
      </c>
      <c r="I54" s="67">
        <f>IF(H54="","",IF(H54=1,"",C54-_xlfn.MAXIFS($C$7:$C$1006,$A$7:$A$1006,A54,$C$7:$C$1006,"&lt;"&amp;C54)))</f>
        <v/>
      </c>
      <c r="J54" s="68">
        <f>IF(I54="","",I54/TpM)</f>
        <v/>
      </c>
      <c r="K54" s="69">
        <f>IF(H54="","",COUNTIFS($A$7:$A$1006,A54,$C$7:$C$1006,"&gt;0")-H54)</f>
        <v/>
      </c>
      <c r="L54" s="69">
        <f>IF(H54="","",A54&amp;"|"&amp;H54)</f>
        <v/>
      </c>
      <c r="M54" s="69">
        <f>IF(A54="","",IFERROR(INDEX(Bestand!$AC$14:$AC$213,MATCH(A54,Bestand!$A$14:$A$213,0)),0))</f>
        <v/>
      </c>
      <c r="N54" s="69">
        <f>IF(OR(H54="",M54&lt;&gt;1),"",C54+ROW()/100000)</f>
        <v/>
      </c>
    </row>
    <row r="55" ht="20" customHeight="1">
      <c r="A55" s="60" t="n"/>
      <c r="B55" s="65">
        <f>IF(A55="","",IFERROR(INDEX(Bestand!$B$14:$B$213,MATCH(A55,Bestand!$A$14:$A$213,0)),"ID unbekannt"))</f>
        <v/>
      </c>
      <c r="C55" s="63" t="n"/>
      <c r="D55" s="62" t="n"/>
      <c r="E55" s="60" t="n"/>
      <c r="F55" s="60" t="n"/>
      <c r="G55" s="61" t="n"/>
      <c r="H55" s="69">
        <f>IF(OR(A55="",C55=""),"",COUNTIFS($A$7:$A$1006,A55,$C$7:$C$1006,"&lt;"&amp;C55)+1)</f>
        <v/>
      </c>
      <c r="I55" s="67">
        <f>IF(H55="","",IF(H55=1,"",C55-_xlfn.MAXIFS($C$7:$C$1006,$A$7:$A$1006,A55,$C$7:$C$1006,"&lt;"&amp;C55)))</f>
        <v/>
      </c>
      <c r="J55" s="68">
        <f>IF(I55="","",I55/TpM)</f>
        <v/>
      </c>
      <c r="K55" s="69">
        <f>IF(H55="","",COUNTIFS($A$7:$A$1006,A55,$C$7:$C$1006,"&gt;0")-H55)</f>
        <v/>
      </c>
      <c r="L55" s="69">
        <f>IF(H55="","",A55&amp;"|"&amp;H55)</f>
        <v/>
      </c>
      <c r="M55" s="69">
        <f>IF(A55="","",IFERROR(INDEX(Bestand!$AC$14:$AC$213,MATCH(A55,Bestand!$A$14:$A$213,0)),0))</f>
        <v/>
      </c>
      <c r="N55" s="69">
        <f>IF(OR(H55="",M55&lt;&gt;1),"",C55+ROW()/100000)</f>
        <v/>
      </c>
    </row>
    <row r="56" ht="20" customHeight="1">
      <c r="A56" s="60" t="n"/>
      <c r="B56" s="65">
        <f>IF(A56="","",IFERROR(INDEX(Bestand!$B$14:$B$213,MATCH(A56,Bestand!$A$14:$A$213,0)),"ID unbekannt"))</f>
        <v/>
      </c>
      <c r="C56" s="63" t="n"/>
      <c r="D56" s="62" t="n"/>
      <c r="E56" s="60" t="n"/>
      <c r="F56" s="60" t="n"/>
      <c r="G56" s="61" t="n"/>
      <c r="H56" s="69">
        <f>IF(OR(A56="",C56=""),"",COUNTIFS($A$7:$A$1006,A56,$C$7:$C$1006,"&lt;"&amp;C56)+1)</f>
        <v/>
      </c>
      <c r="I56" s="67">
        <f>IF(H56="","",IF(H56=1,"",C56-_xlfn.MAXIFS($C$7:$C$1006,$A$7:$A$1006,A56,$C$7:$C$1006,"&lt;"&amp;C56)))</f>
        <v/>
      </c>
      <c r="J56" s="68">
        <f>IF(I56="","",I56/TpM)</f>
        <v/>
      </c>
      <c r="K56" s="69">
        <f>IF(H56="","",COUNTIFS($A$7:$A$1006,A56,$C$7:$C$1006,"&gt;0")-H56)</f>
        <v/>
      </c>
      <c r="L56" s="69">
        <f>IF(H56="","",A56&amp;"|"&amp;H56)</f>
        <v/>
      </c>
      <c r="M56" s="69">
        <f>IF(A56="","",IFERROR(INDEX(Bestand!$AC$14:$AC$213,MATCH(A56,Bestand!$A$14:$A$213,0)),0))</f>
        <v/>
      </c>
      <c r="N56" s="69">
        <f>IF(OR(H56="",M56&lt;&gt;1),"",C56+ROW()/100000)</f>
        <v/>
      </c>
    </row>
    <row r="57" ht="20" customHeight="1">
      <c r="A57" s="60" t="n"/>
      <c r="B57" s="65">
        <f>IF(A57="","",IFERROR(INDEX(Bestand!$B$14:$B$213,MATCH(A57,Bestand!$A$14:$A$213,0)),"ID unbekannt"))</f>
        <v/>
      </c>
      <c r="C57" s="63" t="n"/>
      <c r="D57" s="62" t="n"/>
      <c r="E57" s="60" t="n"/>
      <c r="F57" s="60" t="n"/>
      <c r="G57" s="61" t="n"/>
      <c r="H57" s="69">
        <f>IF(OR(A57="",C57=""),"",COUNTIFS($A$7:$A$1006,A57,$C$7:$C$1006,"&lt;"&amp;C57)+1)</f>
        <v/>
      </c>
      <c r="I57" s="67">
        <f>IF(H57="","",IF(H57=1,"",C57-_xlfn.MAXIFS($C$7:$C$1006,$A$7:$A$1006,A57,$C$7:$C$1006,"&lt;"&amp;C57)))</f>
        <v/>
      </c>
      <c r="J57" s="68">
        <f>IF(I57="","",I57/TpM)</f>
        <v/>
      </c>
      <c r="K57" s="69">
        <f>IF(H57="","",COUNTIFS($A$7:$A$1006,A57,$C$7:$C$1006,"&gt;0")-H57)</f>
        <v/>
      </c>
      <c r="L57" s="69">
        <f>IF(H57="","",A57&amp;"|"&amp;H57)</f>
        <v/>
      </c>
      <c r="M57" s="69">
        <f>IF(A57="","",IFERROR(INDEX(Bestand!$AC$14:$AC$213,MATCH(A57,Bestand!$A$14:$A$213,0)),0))</f>
        <v/>
      </c>
      <c r="N57" s="69">
        <f>IF(OR(H57="",M57&lt;&gt;1),"",C57+ROW()/100000)</f>
        <v/>
      </c>
    </row>
    <row r="58" ht="20" customHeight="1">
      <c r="A58" s="60" t="n"/>
      <c r="B58" s="65">
        <f>IF(A58="","",IFERROR(INDEX(Bestand!$B$14:$B$213,MATCH(A58,Bestand!$A$14:$A$213,0)),"ID unbekannt"))</f>
        <v/>
      </c>
      <c r="C58" s="63" t="n"/>
      <c r="D58" s="62" t="n"/>
      <c r="E58" s="60" t="n"/>
      <c r="F58" s="60" t="n"/>
      <c r="G58" s="61" t="n"/>
      <c r="H58" s="69">
        <f>IF(OR(A58="",C58=""),"",COUNTIFS($A$7:$A$1006,A58,$C$7:$C$1006,"&lt;"&amp;C58)+1)</f>
        <v/>
      </c>
      <c r="I58" s="67">
        <f>IF(H58="","",IF(H58=1,"",C58-_xlfn.MAXIFS($C$7:$C$1006,$A$7:$A$1006,A58,$C$7:$C$1006,"&lt;"&amp;C58)))</f>
        <v/>
      </c>
      <c r="J58" s="68">
        <f>IF(I58="","",I58/TpM)</f>
        <v/>
      </c>
      <c r="K58" s="69">
        <f>IF(H58="","",COUNTIFS($A$7:$A$1006,A58,$C$7:$C$1006,"&gt;0")-H58)</f>
        <v/>
      </c>
      <c r="L58" s="69">
        <f>IF(H58="","",A58&amp;"|"&amp;H58)</f>
        <v/>
      </c>
      <c r="M58" s="69">
        <f>IF(A58="","",IFERROR(INDEX(Bestand!$AC$14:$AC$213,MATCH(A58,Bestand!$A$14:$A$213,0)),0))</f>
        <v/>
      </c>
      <c r="N58" s="69">
        <f>IF(OR(H58="",M58&lt;&gt;1),"",C58+ROW()/100000)</f>
        <v/>
      </c>
    </row>
    <row r="59" ht="20" customHeight="1">
      <c r="A59" s="60" t="n"/>
      <c r="B59" s="65">
        <f>IF(A59="","",IFERROR(INDEX(Bestand!$B$14:$B$213,MATCH(A59,Bestand!$A$14:$A$213,0)),"ID unbekannt"))</f>
        <v/>
      </c>
      <c r="C59" s="63" t="n"/>
      <c r="D59" s="62" t="n"/>
      <c r="E59" s="60" t="n"/>
      <c r="F59" s="60" t="n"/>
      <c r="G59" s="61" t="n"/>
      <c r="H59" s="69">
        <f>IF(OR(A59="",C59=""),"",COUNTIFS($A$7:$A$1006,A59,$C$7:$C$1006,"&lt;"&amp;C59)+1)</f>
        <v/>
      </c>
      <c r="I59" s="67">
        <f>IF(H59="","",IF(H59=1,"",C59-_xlfn.MAXIFS($C$7:$C$1006,$A$7:$A$1006,A59,$C$7:$C$1006,"&lt;"&amp;C59)))</f>
        <v/>
      </c>
      <c r="J59" s="68">
        <f>IF(I59="","",I59/TpM)</f>
        <v/>
      </c>
      <c r="K59" s="69">
        <f>IF(H59="","",COUNTIFS($A$7:$A$1006,A59,$C$7:$C$1006,"&gt;0")-H59)</f>
        <v/>
      </c>
      <c r="L59" s="69">
        <f>IF(H59="","",A59&amp;"|"&amp;H59)</f>
        <v/>
      </c>
      <c r="M59" s="69">
        <f>IF(A59="","",IFERROR(INDEX(Bestand!$AC$14:$AC$213,MATCH(A59,Bestand!$A$14:$A$213,0)),0))</f>
        <v/>
      </c>
      <c r="N59" s="69">
        <f>IF(OR(H59="",M59&lt;&gt;1),"",C59+ROW()/100000)</f>
        <v/>
      </c>
    </row>
    <row r="60" ht="20" customHeight="1">
      <c r="A60" s="60" t="n"/>
      <c r="B60" s="65">
        <f>IF(A60="","",IFERROR(INDEX(Bestand!$B$14:$B$213,MATCH(A60,Bestand!$A$14:$A$213,0)),"ID unbekannt"))</f>
        <v/>
      </c>
      <c r="C60" s="63" t="n"/>
      <c r="D60" s="62" t="n"/>
      <c r="E60" s="60" t="n"/>
      <c r="F60" s="60" t="n"/>
      <c r="G60" s="61" t="n"/>
      <c r="H60" s="69">
        <f>IF(OR(A60="",C60=""),"",COUNTIFS($A$7:$A$1006,A60,$C$7:$C$1006,"&lt;"&amp;C60)+1)</f>
        <v/>
      </c>
      <c r="I60" s="67">
        <f>IF(H60="","",IF(H60=1,"",C60-_xlfn.MAXIFS($C$7:$C$1006,$A$7:$A$1006,A60,$C$7:$C$1006,"&lt;"&amp;C60)))</f>
        <v/>
      </c>
      <c r="J60" s="68">
        <f>IF(I60="","",I60/TpM)</f>
        <v/>
      </c>
      <c r="K60" s="69">
        <f>IF(H60="","",COUNTIFS($A$7:$A$1006,A60,$C$7:$C$1006,"&gt;0")-H60)</f>
        <v/>
      </c>
      <c r="L60" s="69">
        <f>IF(H60="","",A60&amp;"|"&amp;H60)</f>
        <v/>
      </c>
      <c r="M60" s="69">
        <f>IF(A60="","",IFERROR(INDEX(Bestand!$AC$14:$AC$213,MATCH(A60,Bestand!$A$14:$A$213,0)),0))</f>
        <v/>
      </c>
      <c r="N60" s="69">
        <f>IF(OR(H60="",M60&lt;&gt;1),"",C60+ROW()/100000)</f>
        <v/>
      </c>
    </row>
    <row r="61" ht="20" customHeight="1">
      <c r="A61" s="60" t="n"/>
      <c r="B61" s="65">
        <f>IF(A61="","",IFERROR(INDEX(Bestand!$B$14:$B$213,MATCH(A61,Bestand!$A$14:$A$213,0)),"ID unbekannt"))</f>
        <v/>
      </c>
      <c r="C61" s="63" t="n"/>
      <c r="D61" s="62" t="n"/>
      <c r="E61" s="60" t="n"/>
      <c r="F61" s="60" t="n"/>
      <c r="G61" s="61" t="n"/>
      <c r="H61" s="69">
        <f>IF(OR(A61="",C61=""),"",COUNTIFS($A$7:$A$1006,A61,$C$7:$C$1006,"&lt;"&amp;C61)+1)</f>
        <v/>
      </c>
      <c r="I61" s="67">
        <f>IF(H61="","",IF(H61=1,"",C61-_xlfn.MAXIFS($C$7:$C$1006,$A$7:$A$1006,A61,$C$7:$C$1006,"&lt;"&amp;C61)))</f>
        <v/>
      </c>
      <c r="J61" s="68">
        <f>IF(I61="","",I61/TpM)</f>
        <v/>
      </c>
      <c r="K61" s="69">
        <f>IF(H61="","",COUNTIFS($A$7:$A$1006,A61,$C$7:$C$1006,"&gt;0")-H61)</f>
        <v/>
      </c>
      <c r="L61" s="69">
        <f>IF(H61="","",A61&amp;"|"&amp;H61)</f>
        <v/>
      </c>
      <c r="M61" s="69">
        <f>IF(A61="","",IFERROR(INDEX(Bestand!$AC$14:$AC$213,MATCH(A61,Bestand!$A$14:$A$213,0)),0))</f>
        <v/>
      </c>
      <c r="N61" s="69">
        <f>IF(OR(H61="",M61&lt;&gt;1),"",C61+ROW()/100000)</f>
        <v/>
      </c>
    </row>
    <row r="62" ht="20" customHeight="1">
      <c r="A62" s="60" t="n"/>
      <c r="B62" s="65">
        <f>IF(A62="","",IFERROR(INDEX(Bestand!$B$14:$B$213,MATCH(A62,Bestand!$A$14:$A$213,0)),"ID unbekannt"))</f>
        <v/>
      </c>
      <c r="C62" s="63" t="n"/>
      <c r="D62" s="62" t="n"/>
      <c r="E62" s="60" t="n"/>
      <c r="F62" s="60" t="n"/>
      <c r="G62" s="61" t="n"/>
      <c r="H62" s="69">
        <f>IF(OR(A62="",C62=""),"",COUNTIFS($A$7:$A$1006,A62,$C$7:$C$1006,"&lt;"&amp;C62)+1)</f>
        <v/>
      </c>
      <c r="I62" s="67">
        <f>IF(H62="","",IF(H62=1,"",C62-_xlfn.MAXIFS($C$7:$C$1006,$A$7:$A$1006,A62,$C$7:$C$1006,"&lt;"&amp;C62)))</f>
        <v/>
      </c>
      <c r="J62" s="68">
        <f>IF(I62="","",I62/TpM)</f>
        <v/>
      </c>
      <c r="K62" s="69">
        <f>IF(H62="","",COUNTIFS($A$7:$A$1006,A62,$C$7:$C$1006,"&gt;0")-H62)</f>
        <v/>
      </c>
      <c r="L62" s="69">
        <f>IF(H62="","",A62&amp;"|"&amp;H62)</f>
        <v/>
      </c>
      <c r="M62" s="69">
        <f>IF(A62="","",IFERROR(INDEX(Bestand!$AC$14:$AC$213,MATCH(A62,Bestand!$A$14:$A$213,0)),0))</f>
        <v/>
      </c>
      <c r="N62" s="69">
        <f>IF(OR(H62="",M62&lt;&gt;1),"",C62+ROW()/100000)</f>
        <v/>
      </c>
    </row>
    <row r="63" ht="20" customHeight="1">
      <c r="A63" s="60" t="n"/>
      <c r="B63" s="65">
        <f>IF(A63="","",IFERROR(INDEX(Bestand!$B$14:$B$213,MATCH(A63,Bestand!$A$14:$A$213,0)),"ID unbekannt"))</f>
        <v/>
      </c>
      <c r="C63" s="63" t="n"/>
      <c r="D63" s="62" t="n"/>
      <c r="E63" s="60" t="n"/>
      <c r="F63" s="60" t="n"/>
      <c r="G63" s="61" t="n"/>
      <c r="H63" s="69">
        <f>IF(OR(A63="",C63=""),"",COUNTIFS($A$7:$A$1006,A63,$C$7:$C$1006,"&lt;"&amp;C63)+1)</f>
        <v/>
      </c>
      <c r="I63" s="67">
        <f>IF(H63="","",IF(H63=1,"",C63-_xlfn.MAXIFS($C$7:$C$1006,$A$7:$A$1006,A63,$C$7:$C$1006,"&lt;"&amp;C63)))</f>
        <v/>
      </c>
      <c r="J63" s="68">
        <f>IF(I63="","",I63/TpM)</f>
        <v/>
      </c>
      <c r="K63" s="69">
        <f>IF(H63="","",COUNTIFS($A$7:$A$1006,A63,$C$7:$C$1006,"&gt;0")-H63)</f>
        <v/>
      </c>
      <c r="L63" s="69">
        <f>IF(H63="","",A63&amp;"|"&amp;H63)</f>
        <v/>
      </c>
      <c r="M63" s="69">
        <f>IF(A63="","",IFERROR(INDEX(Bestand!$AC$14:$AC$213,MATCH(A63,Bestand!$A$14:$A$213,0)),0))</f>
        <v/>
      </c>
      <c r="N63" s="69">
        <f>IF(OR(H63="",M63&lt;&gt;1),"",C63+ROW()/100000)</f>
        <v/>
      </c>
    </row>
    <row r="64" ht="20" customHeight="1">
      <c r="A64" s="60" t="n"/>
      <c r="B64" s="65">
        <f>IF(A64="","",IFERROR(INDEX(Bestand!$B$14:$B$213,MATCH(A64,Bestand!$A$14:$A$213,0)),"ID unbekannt"))</f>
        <v/>
      </c>
      <c r="C64" s="63" t="n"/>
      <c r="D64" s="62" t="n"/>
      <c r="E64" s="60" t="n"/>
      <c r="F64" s="60" t="n"/>
      <c r="G64" s="61" t="n"/>
      <c r="H64" s="69">
        <f>IF(OR(A64="",C64=""),"",COUNTIFS($A$7:$A$1006,A64,$C$7:$C$1006,"&lt;"&amp;C64)+1)</f>
        <v/>
      </c>
      <c r="I64" s="67">
        <f>IF(H64="","",IF(H64=1,"",C64-_xlfn.MAXIFS($C$7:$C$1006,$A$7:$A$1006,A64,$C$7:$C$1006,"&lt;"&amp;C64)))</f>
        <v/>
      </c>
      <c r="J64" s="68">
        <f>IF(I64="","",I64/TpM)</f>
        <v/>
      </c>
      <c r="K64" s="69">
        <f>IF(H64="","",COUNTIFS($A$7:$A$1006,A64,$C$7:$C$1006,"&gt;0")-H64)</f>
        <v/>
      </c>
      <c r="L64" s="69">
        <f>IF(H64="","",A64&amp;"|"&amp;H64)</f>
        <v/>
      </c>
      <c r="M64" s="69">
        <f>IF(A64="","",IFERROR(INDEX(Bestand!$AC$14:$AC$213,MATCH(A64,Bestand!$A$14:$A$213,0)),0))</f>
        <v/>
      </c>
      <c r="N64" s="69">
        <f>IF(OR(H64="",M64&lt;&gt;1),"",C64+ROW()/100000)</f>
        <v/>
      </c>
    </row>
    <row r="65" ht="20" customHeight="1">
      <c r="A65" s="60" t="n"/>
      <c r="B65" s="65">
        <f>IF(A65="","",IFERROR(INDEX(Bestand!$B$14:$B$213,MATCH(A65,Bestand!$A$14:$A$213,0)),"ID unbekannt"))</f>
        <v/>
      </c>
      <c r="C65" s="63" t="n"/>
      <c r="D65" s="62" t="n"/>
      <c r="E65" s="60" t="n"/>
      <c r="F65" s="60" t="n"/>
      <c r="G65" s="61" t="n"/>
      <c r="H65" s="69">
        <f>IF(OR(A65="",C65=""),"",COUNTIFS($A$7:$A$1006,A65,$C$7:$C$1006,"&lt;"&amp;C65)+1)</f>
        <v/>
      </c>
      <c r="I65" s="67">
        <f>IF(H65="","",IF(H65=1,"",C65-_xlfn.MAXIFS($C$7:$C$1006,$A$7:$A$1006,A65,$C$7:$C$1006,"&lt;"&amp;C65)))</f>
        <v/>
      </c>
      <c r="J65" s="68">
        <f>IF(I65="","",I65/TpM)</f>
        <v/>
      </c>
      <c r="K65" s="69">
        <f>IF(H65="","",COUNTIFS($A$7:$A$1006,A65,$C$7:$C$1006,"&gt;0")-H65)</f>
        <v/>
      </c>
      <c r="L65" s="69">
        <f>IF(H65="","",A65&amp;"|"&amp;H65)</f>
        <v/>
      </c>
      <c r="M65" s="69">
        <f>IF(A65="","",IFERROR(INDEX(Bestand!$AC$14:$AC$213,MATCH(A65,Bestand!$A$14:$A$213,0)),0))</f>
        <v/>
      </c>
      <c r="N65" s="69">
        <f>IF(OR(H65="",M65&lt;&gt;1),"",C65+ROW()/100000)</f>
        <v/>
      </c>
    </row>
    <row r="66" ht="20" customHeight="1">
      <c r="A66" s="60" t="n"/>
      <c r="B66" s="65">
        <f>IF(A66="","",IFERROR(INDEX(Bestand!$B$14:$B$213,MATCH(A66,Bestand!$A$14:$A$213,0)),"ID unbekannt"))</f>
        <v/>
      </c>
      <c r="C66" s="63" t="n"/>
      <c r="D66" s="62" t="n"/>
      <c r="E66" s="60" t="n"/>
      <c r="F66" s="60" t="n"/>
      <c r="G66" s="61" t="n"/>
      <c r="H66" s="69">
        <f>IF(OR(A66="",C66=""),"",COUNTIFS($A$7:$A$1006,A66,$C$7:$C$1006,"&lt;"&amp;C66)+1)</f>
        <v/>
      </c>
      <c r="I66" s="67">
        <f>IF(H66="","",IF(H66=1,"",C66-_xlfn.MAXIFS($C$7:$C$1006,$A$7:$A$1006,A66,$C$7:$C$1006,"&lt;"&amp;C66)))</f>
        <v/>
      </c>
      <c r="J66" s="68">
        <f>IF(I66="","",I66/TpM)</f>
        <v/>
      </c>
      <c r="K66" s="69">
        <f>IF(H66="","",COUNTIFS($A$7:$A$1006,A66,$C$7:$C$1006,"&gt;0")-H66)</f>
        <v/>
      </c>
      <c r="L66" s="69">
        <f>IF(H66="","",A66&amp;"|"&amp;H66)</f>
        <v/>
      </c>
      <c r="M66" s="69">
        <f>IF(A66="","",IFERROR(INDEX(Bestand!$AC$14:$AC$213,MATCH(A66,Bestand!$A$14:$A$213,0)),0))</f>
        <v/>
      </c>
      <c r="N66" s="69">
        <f>IF(OR(H66="",M66&lt;&gt;1),"",C66+ROW()/100000)</f>
        <v/>
      </c>
    </row>
    <row r="67" ht="20" customHeight="1">
      <c r="A67" s="60" t="n"/>
      <c r="B67" s="65">
        <f>IF(A67="","",IFERROR(INDEX(Bestand!$B$14:$B$213,MATCH(A67,Bestand!$A$14:$A$213,0)),"ID unbekannt"))</f>
        <v/>
      </c>
      <c r="C67" s="63" t="n"/>
      <c r="D67" s="62" t="n"/>
      <c r="E67" s="60" t="n"/>
      <c r="F67" s="60" t="n"/>
      <c r="G67" s="61" t="n"/>
      <c r="H67" s="69">
        <f>IF(OR(A67="",C67=""),"",COUNTIFS($A$7:$A$1006,A67,$C$7:$C$1006,"&lt;"&amp;C67)+1)</f>
        <v/>
      </c>
      <c r="I67" s="67">
        <f>IF(H67="","",IF(H67=1,"",C67-_xlfn.MAXIFS($C$7:$C$1006,$A$7:$A$1006,A67,$C$7:$C$1006,"&lt;"&amp;C67)))</f>
        <v/>
      </c>
      <c r="J67" s="68">
        <f>IF(I67="","",I67/TpM)</f>
        <v/>
      </c>
      <c r="K67" s="69">
        <f>IF(H67="","",COUNTIFS($A$7:$A$1006,A67,$C$7:$C$1006,"&gt;0")-H67)</f>
        <v/>
      </c>
      <c r="L67" s="69">
        <f>IF(H67="","",A67&amp;"|"&amp;H67)</f>
        <v/>
      </c>
      <c r="M67" s="69">
        <f>IF(A67="","",IFERROR(INDEX(Bestand!$AC$14:$AC$213,MATCH(A67,Bestand!$A$14:$A$213,0)),0))</f>
        <v/>
      </c>
      <c r="N67" s="69">
        <f>IF(OR(H67="",M67&lt;&gt;1),"",C67+ROW()/100000)</f>
        <v/>
      </c>
    </row>
    <row r="68" ht="20" customHeight="1">
      <c r="A68" s="60" t="n"/>
      <c r="B68" s="65">
        <f>IF(A68="","",IFERROR(INDEX(Bestand!$B$14:$B$213,MATCH(A68,Bestand!$A$14:$A$213,0)),"ID unbekannt"))</f>
        <v/>
      </c>
      <c r="C68" s="63" t="n"/>
      <c r="D68" s="62" t="n"/>
      <c r="E68" s="60" t="n"/>
      <c r="F68" s="60" t="n"/>
      <c r="G68" s="61" t="n"/>
      <c r="H68" s="69">
        <f>IF(OR(A68="",C68=""),"",COUNTIFS($A$7:$A$1006,A68,$C$7:$C$1006,"&lt;"&amp;C68)+1)</f>
        <v/>
      </c>
      <c r="I68" s="67">
        <f>IF(H68="","",IF(H68=1,"",C68-_xlfn.MAXIFS($C$7:$C$1006,$A$7:$A$1006,A68,$C$7:$C$1006,"&lt;"&amp;C68)))</f>
        <v/>
      </c>
      <c r="J68" s="68">
        <f>IF(I68="","",I68/TpM)</f>
        <v/>
      </c>
      <c r="K68" s="69">
        <f>IF(H68="","",COUNTIFS($A$7:$A$1006,A68,$C$7:$C$1006,"&gt;0")-H68)</f>
        <v/>
      </c>
      <c r="L68" s="69">
        <f>IF(H68="","",A68&amp;"|"&amp;H68)</f>
        <v/>
      </c>
      <c r="M68" s="69">
        <f>IF(A68="","",IFERROR(INDEX(Bestand!$AC$14:$AC$213,MATCH(A68,Bestand!$A$14:$A$213,0)),0))</f>
        <v/>
      </c>
      <c r="N68" s="69">
        <f>IF(OR(H68="",M68&lt;&gt;1),"",C68+ROW()/100000)</f>
        <v/>
      </c>
    </row>
    <row r="69" ht="20" customHeight="1">
      <c r="A69" s="60" t="n"/>
      <c r="B69" s="65">
        <f>IF(A69="","",IFERROR(INDEX(Bestand!$B$14:$B$213,MATCH(A69,Bestand!$A$14:$A$213,0)),"ID unbekannt"))</f>
        <v/>
      </c>
      <c r="C69" s="63" t="n"/>
      <c r="D69" s="62" t="n"/>
      <c r="E69" s="60" t="n"/>
      <c r="F69" s="60" t="n"/>
      <c r="G69" s="61" t="n"/>
      <c r="H69" s="69">
        <f>IF(OR(A69="",C69=""),"",COUNTIFS($A$7:$A$1006,A69,$C$7:$C$1006,"&lt;"&amp;C69)+1)</f>
        <v/>
      </c>
      <c r="I69" s="67">
        <f>IF(H69="","",IF(H69=1,"",C69-_xlfn.MAXIFS($C$7:$C$1006,$A$7:$A$1006,A69,$C$7:$C$1006,"&lt;"&amp;C69)))</f>
        <v/>
      </c>
      <c r="J69" s="68">
        <f>IF(I69="","",I69/TpM)</f>
        <v/>
      </c>
      <c r="K69" s="69">
        <f>IF(H69="","",COUNTIFS($A$7:$A$1006,A69,$C$7:$C$1006,"&gt;0")-H69)</f>
        <v/>
      </c>
      <c r="L69" s="69">
        <f>IF(H69="","",A69&amp;"|"&amp;H69)</f>
        <v/>
      </c>
      <c r="M69" s="69">
        <f>IF(A69="","",IFERROR(INDEX(Bestand!$AC$14:$AC$213,MATCH(A69,Bestand!$A$14:$A$213,0)),0))</f>
        <v/>
      </c>
      <c r="N69" s="69">
        <f>IF(OR(H69="",M69&lt;&gt;1),"",C69+ROW()/100000)</f>
        <v/>
      </c>
    </row>
    <row r="70" ht="20" customHeight="1">
      <c r="A70" s="60" t="n"/>
      <c r="B70" s="65">
        <f>IF(A70="","",IFERROR(INDEX(Bestand!$B$14:$B$213,MATCH(A70,Bestand!$A$14:$A$213,0)),"ID unbekannt"))</f>
        <v/>
      </c>
      <c r="C70" s="63" t="n"/>
      <c r="D70" s="62" t="n"/>
      <c r="E70" s="60" t="n"/>
      <c r="F70" s="60" t="n"/>
      <c r="G70" s="61" t="n"/>
      <c r="H70" s="69">
        <f>IF(OR(A70="",C70=""),"",COUNTIFS($A$7:$A$1006,A70,$C$7:$C$1006,"&lt;"&amp;C70)+1)</f>
        <v/>
      </c>
      <c r="I70" s="67">
        <f>IF(H70="","",IF(H70=1,"",C70-_xlfn.MAXIFS($C$7:$C$1006,$A$7:$A$1006,A70,$C$7:$C$1006,"&lt;"&amp;C70)))</f>
        <v/>
      </c>
      <c r="J70" s="68">
        <f>IF(I70="","",I70/TpM)</f>
        <v/>
      </c>
      <c r="K70" s="69">
        <f>IF(H70="","",COUNTIFS($A$7:$A$1006,A70,$C$7:$C$1006,"&gt;0")-H70)</f>
        <v/>
      </c>
      <c r="L70" s="69">
        <f>IF(H70="","",A70&amp;"|"&amp;H70)</f>
        <v/>
      </c>
      <c r="M70" s="69">
        <f>IF(A70="","",IFERROR(INDEX(Bestand!$AC$14:$AC$213,MATCH(A70,Bestand!$A$14:$A$213,0)),0))</f>
        <v/>
      </c>
      <c r="N70" s="69">
        <f>IF(OR(H70="",M70&lt;&gt;1),"",C70+ROW()/100000)</f>
        <v/>
      </c>
    </row>
    <row r="71" ht="20" customHeight="1">
      <c r="A71" s="60" t="n"/>
      <c r="B71" s="65">
        <f>IF(A71="","",IFERROR(INDEX(Bestand!$B$14:$B$213,MATCH(A71,Bestand!$A$14:$A$213,0)),"ID unbekannt"))</f>
        <v/>
      </c>
      <c r="C71" s="63" t="n"/>
      <c r="D71" s="62" t="n"/>
      <c r="E71" s="60" t="n"/>
      <c r="F71" s="60" t="n"/>
      <c r="G71" s="61" t="n"/>
      <c r="H71" s="69">
        <f>IF(OR(A71="",C71=""),"",COUNTIFS($A$7:$A$1006,A71,$C$7:$C$1006,"&lt;"&amp;C71)+1)</f>
        <v/>
      </c>
      <c r="I71" s="67">
        <f>IF(H71="","",IF(H71=1,"",C71-_xlfn.MAXIFS($C$7:$C$1006,$A$7:$A$1006,A71,$C$7:$C$1006,"&lt;"&amp;C71)))</f>
        <v/>
      </c>
      <c r="J71" s="68">
        <f>IF(I71="","",I71/TpM)</f>
        <v/>
      </c>
      <c r="K71" s="69">
        <f>IF(H71="","",COUNTIFS($A$7:$A$1006,A71,$C$7:$C$1006,"&gt;0")-H71)</f>
        <v/>
      </c>
      <c r="L71" s="69">
        <f>IF(H71="","",A71&amp;"|"&amp;H71)</f>
        <v/>
      </c>
      <c r="M71" s="69">
        <f>IF(A71="","",IFERROR(INDEX(Bestand!$AC$14:$AC$213,MATCH(A71,Bestand!$A$14:$A$213,0)),0))</f>
        <v/>
      </c>
      <c r="N71" s="69">
        <f>IF(OR(H71="",M71&lt;&gt;1),"",C71+ROW()/100000)</f>
        <v/>
      </c>
    </row>
    <row r="72" ht="20" customHeight="1">
      <c r="A72" s="60" t="n"/>
      <c r="B72" s="65">
        <f>IF(A72="","",IFERROR(INDEX(Bestand!$B$14:$B$213,MATCH(A72,Bestand!$A$14:$A$213,0)),"ID unbekannt"))</f>
        <v/>
      </c>
      <c r="C72" s="63" t="n"/>
      <c r="D72" s="62" t="n"/>
      <c r="E72" s="60" t="n"/>
      <c r="F72" s="60" t="n"/>
      <c r="G72" s="61" t="n"/>
      <c r="H72" s="69">
        <f>IF(OR(A72="",C72=""),"",COUNTIFS($A$7:$A$1006,A72,$C$7:$C$1006,"&lt;"&amp;C72)+1)</f>
        <v/>
      </c>
      <c r="I72" s="67">
        <f>IF(H72="","",IF(H72=1,"",C72-_xlfn.MAXIFS($C$7:$C$1006,$A$7:$A$1006,A72,$C$7:$C$1006,"&lt;"&amp;C72)))</f>
        <v/>
      </c>
      <c r="J72" s="68">
        <f>IF(I72="","",I72/TpM)</f>
        <v/>
      </c>
      <c r="K72" s="69">
        <f>IF(H72="","",COUNTIFS($A$7:$A$1006,A72,$C$7:$C$1006,"&gt;0")-H72)</f>
        <v/>
      </c>
      <c r="L72" s="69">
        <f>IF(H72="","",A72&amp;"|"&amp;H72)</f>
        <v/>
      </c>
      <c r="M72" s="69">
        <f>IF(A72="","",IFERROR(INDEX(Bestand!$AC$14:$AC$213,MATCH(A72,Bestand!$A$14:$A$213,0)),0))</f>
        <v/>
      </c>
      <c r="N72" s="69">
        <f>IF(OR(H72="",M72&lt;&gt;1),"",C72+ROW()/100000)</f>
        <v/>
      </c>
    </row>
    <row r="73" ht="20" customHeight="1">
      <c r="A73" s="60" t="n"/>
      <c r="B73" s="65">
        <f>IF(A73="","",IFERROR(INDEX(Bestand!$B$14:$B$213,MATCH(A73,Bestand!$A$14:$A$213,0)),"ID unbekannt"))</f>
        <v/>
      </c>
      <c r="C73" s="63" t="n"/>
      <c r="D73" s="62" t="n"/>
      <c r="E73" s="60" t="n"/>
      <c r="F73" s="60" t="n"/>
      <c r="G73" s="61" t="n"/>
      <c r="H73" s="69">
        <f>IF(OR(A73="",C73=""),"",COUNTIFS($A$7:$A$1006,A73,$C$7:$C$1006,"&lt;"&amp;C73)+1)</f>
        <v/>
      </c>
      <c r="I73" s="67">
        <f>IF(H73="","",IF(H73=1,"",C73-_xlfn.MAXIFS($C$7:$C$1006,$A$7:$A$1006,A73,$C$7:$C$1006,"&lt;"&amp;C73)))</f>
        <v/>
      </c>
      <c r="J73" s="68">
        <f>IF(I73="","",I73/TpM)</f>
        <v/>
      </c>
      <c r="K73" s="69">
        <f>IF(H73="","",COUNTIFS($A$7:$A$1006,A73,$C$7:$C$1006,"&gt;0")-H73)</f>
        <v/>
      </c>
      <c r="L73" s="69">
        <f>IF(H73="","",A73&amp;"|"&amp;H73)</f>
        <v/>
      </c>
      <c r="M73" s="69">
        <f>IF(A73="","",IFERROR(INDEX(Bestand!$AC$14:$AC$213,MATCH(A73,Bestand!$A$14:$A$213,0)),0))</f>
        <v/>
      </c>
      <c r="N73" s="69">
        <f>IF(OR(H73="",M73&lt;&gt;1),"",C73+ROW()/100000)</f>
        <v/>
      </c>
    </row>
    <row r="74" ht="20" customHeight="1">
      <c r="A74" s="60" t="n"/>
      <c r="B74" s="65">
        <f>IF(A74="","",IFERROR(INDEX(Bestand!$B$14:$B$213,MATCH(A74,Bestand!$A$14:$A$213,0)),"ID unbekannt"))</f>
        <v/>
      </c>
      <c r="C74" s="63" t="n"/>
      <c r="D74" s="62" t="n"/>
      <c r="E74" s="60" t="n"/>
      <c r="F74" s="60" t="n"/>
      <c r="G74" s="61" t="n"/>
      <c r="H74" s="69">
        <f>IF(OR(A74="",C74=""),"",COUNTIFS($A$7:$A$1006,A74,$C$7:$C$1006,"&lt;"&amp;C74)+1)</f>
        <v/>
      </c>
      <c r="I74" s="67">
        <f>IF(H74="","",IF(H74=1,"",C74-_xlfn.MAXIFS($C$7:$C$1006,$A$7:$A$1006,A74,$C$7:$C$1006,"&lt;"&amp;C74)))</f>
        <v/>
      </c>
      <c r="J74" s="68">
        <f>IF(I74="","",I74/TpM)</f>
        <v/>
      </c>
      <c r="K74" s="69">
        <f>IF(H74="","",COUNTIFS($A$7:$A$1006,A74,$C$7:$C$1006,"&gt;0")-H74)</f>
        <v/>
      </c>
      <c r="L74" s="69">
        <f>IF(H74="","",A74&amp;"|"&amp;H74)</f>
        <v/>
      </c>
      <c r="M74" s="69">
        <f>IF(A74="","",IFERROR(INDEX(Bestand!$AC$14:$AC$213,MATCH(A74,Bestand!$A$14:$A$213,0)),0))</f>
        <v/>
      </c>
      <c r="N74" s="69">
        <f>IF(OR(H74="",M74&lt;&gt;1),"",C74+ROW()/100000)</f>
        <v/>
      </c>
    </row>
    <row r="75" ht="20" customHeight="1">
      <c r="A75" s="60" t="n"/>
      <c r="B75" s="65">
        <f>IF(A75="","",IFERROR(INDEX(Bestand!$B$14:$B$213,MATCH(A75,Bestand!$A$14:$A$213,0)),"ID unbekannt"))</f>
        <v/>
      </c>
      <c r="C75" s="63" t="n"/>
      <c r="D75" s="62" t="n"/>
      <c r="E75" s="60" t="n"/>
      <c r="F75" s="60" t="n"/>
      <c r="G75" s="61" t="n"/>
      <c r="H75" s="69">
        <f>IF(OR(A75="",C75=""),"",COUNTIFS($A$7:$A$1006,A75,$C$7:$C$1006,"&lt;"&amp;C75)+1)</f>
        <v/>
      </c>
      <c r="I75" s="67">
        <f>IF(H75="","",IF(H75=1,"",C75-_xlfn.MAXIFS($C$7:$C$1006,$A$7:$A$1006,A75,$C$7:$C$1006,"&lt;"&amp;C75)))</f>
        <v/>
      </c>
      <c r="J75" s="68">
        <f>IF(I75="","",I75/TpM)</f>
        <v/>
      </c>
      <c r="K75" s="69">
        <f>IF(H75="","",COUNTIFS($A$7:$A$1006,A75,$C$7:$C$1006,"&gt;0")-H75)</f>
        <v/>
      </c>
      <c r="L75" s="69">
        <f>IF(H75="","",A75&amp;"|"&amp;H75)</f>
        <v/>
      </c>
      <c r="M75" s="69">
        <f>IF(A75="","",IFERROR(INDEX(Bestand!$AC$14:$AC$213,MATCH(A75,Bestand!$A$14:$A$213,0)),0))</f>
        <v/>
      </c>
      <c r="N75" s="69">
        <f>IF(OR(H75="",M75&lt;&gt;1),"",C75+ROW()/100000)</f>
        <v/>
      </c>
    </row>
    <row r="76" ht="20" customHeight="1">
      <c r="A76" s="60" t="n"/>
      <c r="B76" s="65">
        <f>IF(A76="","",IFERROR(INDEX(Bestand!$B$14:$B$213,MATCH(A76,Bestand!$A$14:$A$213,0)),"ID unbekannt"))</f>
        <v/>
      </c>
      <c r="C76" s="63" t="n"/>
      <c r="D76" s="62" t="n"/>
      <c r="E76" s="60" t="n"/>
      <c r="F76" s="60" t="n"/>
      <c r="G76" s="61" t="n"/>
      <c r="H76" s="69">
        <f>IF(OR(A76="",C76=""),"",COUNTIFS($A$7:$A$1006,A76,$C$7:$C$1006,"&lt;"&amp;C76)+1)</f>
        <v/>
      </c>
      <c r="I76" s="67">
        <f>IF(H76="","",IF(H76=1,"",C76-_xlfn.MAXIFS($C$7:$C$1006,$A$7:$A$1006,A76,$C$7:$C$1006,"&lt;"&amp;C76)))</f>
        <v/>
      </c>
      <c r="J76" s="68">
        <f>IF(I76="","",I76/TpM)</f>
        <v/>
      </c>
      <c r="K76" s="69">
        <f>IF(H76="","",COUNTIFS($A$7:$A$1006,A76,$C$7:$C$1006,"&gt;0")-H76)</f>
        <v/>
      </c>
      <c r="L76" s="69">
        <f>IF(H76="","",A76&amp;"|"&amp;H76)</f>
        <v/>
      </c>
      <c r="M76" s="69">
        <f>IF(A76="","",IFERROR(INDEX(Bestand!$AC$14:$AC$213,MATCH(A76,Bestand!$A$14:$A$213,0)),0))</f>
        <v/>
      </c>
      <c r="N76" s="69">
        <f>IF(OR(H76="",M76&lt;&gt;1),"",C76+ROW()/100000)</f>
        <v/>
      </c>
    </row>
    <row r="77" ht="20" customHeight="1">
      <c r="A77" s="60" t="n"/>
      <c r="B77" s="65">
        <f>IF(A77="","",IFERROR(INDEX(Bestand!$B$14:$B$213,MATCH(A77,Bestand!$A$14:$A$213,0)),"ID unbekannt"))</f>
        <v/>
      </c>
      <c r="C77" s="63" t="n"/>
      <c r="D77" s="62" t="n"/>
      <c r="E77" s="60" t="n"/>
      <c r="F77" s="60" t="n"/>
      <c r="G77" s="61" t="n"/>
      <c r="H77" s="69">
        <f>IF(OR(A77="",C77=""),"",COUNTIFS($A$7:$A$1006,A77,$C$7:$C$1006,"&lt;"&amp;C77)+1)</f>
        <v/>
      </c>
      <c r="I77" s="67">
        <f>IF(H77="","",IF(H77=1,"",C77-_xlfn.MAXIFS($C$7:$C$1006,$A$7:$A$1006,A77,$C$7:$C$1006,"&lt;"&amp;C77)))</f>
        <v/>
      </c>
      <c r="J77" s="68">
        <f>IF(I77="","",I77/TpM)</f>
        <v/>
      </c>
      <c r="K77" s="69">
        <f>IF(H77="","",COUNTIFS($A$7:$A$1006,A77,$C$7:$C$1006,"&gt;0")-H77)</f>
        <v/>
      </c>
      <c r="L77" s="69">
        <f>IF(H77="","",A77&amp;"|"&amp;H77)</f>
        <v/>
      </c>
      <c r="M77" s="69">
        <f>IF(A77="","",IFERROR(INDEX(Bestand!$AC$14:$AC$213,MATCH(A77,Bestand!$A$14:$A$213,0)),0))</f>
        <v/>
      </c>
      <c r="N77" s="69">
        <f>IF(OR(H77="",M77&lt;&gt;1),"",C77+ROW()/100000)</f>
        <v/>
      </c>
    </row>
    <row r="78" ht="20" customHeight="1">
      <c r="A78" s="60" t="n"/>
      <c r="B78" s="65">
        <f>IF(A78="","",IFERROR(INDEX(Bestand!$B$14:$B$213,MATCH(A78,Bestand!$A$14:$A$213,0)),"ID unbekannt"))</f>
        <v/>
      </c>
      <c r="C78" s="63" t="n"/>
      <c r="D78" s="62" t="n"/>
      <c r="E78" s="60" t="n"/>
      <c r="F78" s="60" t="n"/>
      <c r="G78" s="61" t="n"/>
      <c r="H78" s="69">
        <f>IF(OR(A78="",C78=""),"",COUNTIFS($A$7:$A$1006,A78,$C$7:$C$1006,"&lt;"&amp;C78)+1)</f>
        <v/>
      </c>
      <c r="I78" s="67">
        <f>IF(H78="","",IF(H78=1,"",C78-_xlfn.MAXIFS($C$7:$C$1006,$A$7:$A$1006,A78,$C$7:$C$1006,"&lt;"&amp;C78)))</f>
        <v/>
      </c>
      <c r="J78" s="68">
        <f>IF(I78="","",I78/TpM)</f>
        <v/>
      </c>
      <c r="K78" s="69">
        <f>IF(H78="","",COUNTIFS($A$7:$A$1006,A78,$C$7:$C$1006,"&gt;0")-H78)</f>
        <v/>
      </c>
      <c r="L78" s="69">
        <f>IF(H78="","",A78&amp;"|"&amp;H78)</f>
        <v/>
      </c>
      <c r="M78" s="69">
        <f>IF(A78="","",IFERROR(INDEX(Bestand!$AC$14:$AC$213,MATCH(A78,Bestand!$A$14:$A$213,0)),0))</f>
        <v/>
      </c>
      <c r="N78" s="69">
        <f>IF(OR(H78="",M78&lt;&gt;1),"",C78+ROW()/100000)</f>
        <v/>
      </c>
    </row>
    <row r="79" ht="20" customHeight="1">
      <c r="A79" s="60" t="n"/>
      <c r="B79" s="65">
        <f>IF(A79="","",IFERROR(INDEX(Bestand!$B$14:$B$213,MATCH(A79,Bestand!$A$14:$A$213,0)),"ID unbekannt"))</f>
        <v/>
      </c>
      <c r="C79" s="63" t="n"/>
      <c r="D79" s="62" t="n"/>
      <c r="E79" s="60" t="n"/>
      <c r="F79" s="60" t="n"/>
      <c r="G79" s="61" t="n"/>
      <c r="H79" s="69">
        <f>IF(OR(A79="",C79=""),"",COUNTIFS($A$7:$A$1006,A79,$C$7:$C$1006,"&lt;"&amp;C79)+1)</f>
        <v/>
      </c>
      <c r="I79" s="67">
        <f>IF(H79="","",IF(H79=1,"",C79-_xlfn.MAXIFS($C$7:$C$1006,$A$7:$A$1006,A79,$C$7:$C$1006,"&lt;"&amp;C79)))</f>
        <v/>
      </c>
      <c r="J79" s="68">
        <f>IF(I79="","",I79/TpM)</f>
        <v/>
      </c>
      <c r="K79" s="69">
        <f>IF(H79="","",COUNTIFS($A$7:$A$1006,A79,$C$7:$C$1006,"&gt;0")-H79)</f>
        <v/>
      </c>
      <c r="L79" s="69">
        <f>IF(H79="","",A79&amp;"|"&amp;H79)</f>
        <v/>
      </c>
      <c r="M79" s="69">
        <f>IF(A79="","",IFERROR(INDEX(Bestand!$AC$14:$AC$213,MATCH(A79,Bestand!$A$14:$A$213,0)),0))</f>
        <v/>
      </c>
      <c r="N79" s="69">
        <f>IF(OR(H79="",M79&lt;&gt;1),"",C79+ROW()/100000)</f>
        <v/>
      </c>
    </row>
    <row r="80" ht="20" customHeight="1">
      <c r="A80" s="60" t="n"/>
      <c r="B80" s="65">
        <f>IF(A80="","",IFERROR(INDEX(Bestand!$B$14:$B$213,MATCH(A80,Bestand!$A$14:$A$213,0)),"ID unbekannt"))</f>
        <v/>
      </c>
      <c r="C80" s="63" t="n"/>
      <c r="D80" s="62" t="n"/>
      <c r="E80" s="60" t="n"/>
      <c r="F80" s="60" t="n"/>
      <c r="G80" s="61" t="n"/>
      <c r="H80" s="69">
        <f>IF(OR(A80="",C80=""),"",COUNTIFS($A$7:$A$1006,A80,$C$7:$C$1006,"&lt;"&amp;C80)+1)</f>
        <v/>
      </c>
      <c r="I80" s="67">
        <f>IF(H80="","",IF(H80=1,"",C80-_xlfn.MAXIFS($C$7:$C$1006,$A$7:$A$1006,A80,$C$7:$C$1006,"&lt;"&amp;C80)))</f>
        <v/>
      </c>
      <c r="J80" s="68">
        <f>IF(I80="","",I80/TpM)</f>
        <v/>
      </c>
      <c r="K80" s="69">
        <f>IF(H80="","",COUNTIFS($A$7:$A$1006,A80,$C$7:$C$1006,"&gt;0")-H80)</f>
        <v/>
      </c>
      <c r="L80" s="69">
        <f>IF(H80="","",A80&amp;"|"&amp;H80)</f>
        <v/>
      </c>
      <c r="M80" s="69">
        <f>IF(A80="","",IFERROR(INDEX(Bestand!$AC$14:$AC$213,MATCH(A80,Bestand!$A$14:$A$213,0)),0))</f>
        <v/>
      </c>
      <c r="N80" s="69">
        <f>IF(OR(H80="",M80&lt;&gt;1),"",C80+ROW()/100000)</f>
        <v/>
      </c>
    </row>
    <row r="81" ht="20" customHeight="1">
      <c r="A81" s="60" t="n"/>
      <c r="B81" s="65">
        <f>IF(A81="","",IFERROR(INDEX(Bestand!$B$14:$B$213,MATCH(A81,Bestand!$A$14:$A$213,0)),"ID unbekannt"))</f>
        <v/>
      </c>
      <c r="C81" s="63" t="n"/>
      <c r="D81" s="62" t="n"/>
      <c r="E81" s="60" t="n"/>
      <c r="F81" s="60" t="n"/>
      <c r="G81" s="61" t="n"/>
      <c r="H81" s="69">
        <f>IF(OR(A81="",C81=""),"",COUNTIFS($A$7:$A$1006,A81,$C$7:$C$1006,"&lt;"&amp;C81)+1)</f>
        <v/>
      </c>
      <c r="I81" s="67">
        <f>IF(H81="","",IF(H81=1,"",C81-_xlfn.MAXIFS($C$7:$C$1006,$A$7:$A$1006,A81,$C$7:$C$1006,"&lt;"&amp;C81)))</f>
        <v/>
      </c>
      <c r="J81" s="68">
        <f>IF(I81="","",I81/TpM)</f>
        <v/>
      </c>
      <c r="K81" s="69">
        <f>IF(H81="","",COUNTIFS($A$7:$A$1006,A81,$C$7:$C$1006,"&gt;0")-H81)</f>
        <v/>
      </c>
      <c r="L81" s="69">
        <f>IF(H81="","",A81&amp;"|"&amp;H81)</f>
        <v/>
      </c>
      <c r="M81" s="69">
        <f>IF(A81="","",IFERROR(INDEX(Bestand!$AC$14:$AC$213,MATCH(A81,Bestand!$A$14:$A$213,0)),0))</f>
        <v/>
      </c>
      <c r="N81" s="69">
        <f>IF(OR(H81="",M81&lt;&gt;1),"",C81+ROW()/100000)</f>
        <v/>
      </c>
    </row>
    <row r="82" ht="20" customHeight="1">
      <c r="A82" s="60" t="n"/>
      <c r="B82" s="65">
        <f>IF(A82="","",IFERROR(INDEX(Bestand!$B$14:$B$213,MATCH(A82,Bestand!$A$14:$A$213,0)),"ID unbekannt"))</f>
        <v/>
      </c>
      <c r="C82" s="63" t="n"/>
      <c r="D82" s="62" t="n"/>
      <c r="E82" s="60" t="n"/>
      <c r="F82" s="60" t="n"/>
      <c r="G82" s="61" t="n"/>
      <c r="H82" s="69">
        <f>IF(OR(A82="",C82=""),"",COUNTIFS($A$7:$A$1006,A82,$C$7:$C$1006,"&lt;"&amp;C82)+1)</f>
        <v/>
      </c>
      <c r="I82" s="67">
        <f>IF(H82="","",IF(H82=1,"",C82-_xlfn.MAXIFS($C$7:$C$1006,$A$7:$A$1006,A82,$C$7:$C$1006,"&lt;"&amp;C82)))</f>
        <v/>
      </c>
      <c r="J82" s="68">
        <f>IF(I82="","",I82/TpM)</f>
        <v/>
      </c>
      <c r="K82" s="69">
        <f>IF(H82="","",COUNTIFS($A$7:$A$1006,A82,$C$7:$C$1006,"&gt;0")-H82)</f>
        <v/>
      </c>
      <c r="L82" s="69">
        <f>IF(H82="","",A82&amp;"|"&amp;H82)</f>
        <v/>
      </c>
      <c r="M82" s="69">
        <f>IF(A82="","",IFERROR(INDEX(Bestand!$AC$14:$AC$213,MATCH(A82,Bestand!$A$14:$A$213,0)),0))</f>
        <v/>
      </c>
      <c r="N82" s="69">
        <f>IF(OR(H82="",M82&lt;&gt;1),"",C82+ROW()/100000)</f>
        <v/>
      </c>
    </row>
    <row r="83" ht="20" customHeight="1">
      <c r="A83" s="60" t="n"/>
      <c r="B83" s="65">
        <f>IF(A83="","",IFERROR(INDEX(Bestand!$B$14:$B$213,MATCH(A83,Bestand!$A$14:$A$213,0)),"ID unbekannt"))</f>
        <v/>
      </c>
      <c r="C83" s="63" t="n"/>
      <c r="D83" s="62" t="n"/>
      <c r="E83" s="60" t="n"/>
      <c r="F83" s="60" t="n"/>
      <c r="G83" s="61" t="n"/>
      <c r="H83" s="69">
        <f>IF(OR(A83="",C83=""),"",COUNTIFS($A$7:$A$1006,A83,$C$7:$C$1006,"&lt;"&amp;C83)+1)</f>
        <v/>
      </c>
      <c r="I83" s="67">
        <f>IF(H83="","",IF(H83=1,"",C83-_xlfn.MAXIFS($C$7:$C$1006,$A$7:$A$1006,A83,$C$7:$C$1006,"&lt;"&amp;C83)))</f>
        <v/>
      </c>
      <c r="J83" s="68">
        <f>IF(I83="","",I83/TpM)</f>
        <v/>
      </c>
      <c r="K83" s="69">
        <f>IF(H83="","",COUNTIFS($A$7:$A$1006,A83,$C$7:$C$1006,"&gt;0")-H83)</f>
        <v/>
      </c>
      <c r="L83" s="69">
        <f>IF(H83="","",A83&amp;"|"&amp;H83)</f>
        <v/>
      </c>
      <c r="M83" s="69">
        <f>IF(A83="","",IFERROR(INDEX(Bestand!$AC$14:$AC$213,MATCH(A83,Bestand!$A$14:$A$213,0)),0))</f>
        <v/>
      </c>
      <c r="N83" s="69">
        <f>IF(OR(H83="",M83&lt;&gt;1),"",C83+ROW()/100000)</f>
        <v/>
      </c>
    </row>
    <row r="84" ht="20" customHeight="1">
      <c r="A84" s="60" t="n"/>
      <c r="B84" s="65">
        <f>IF(A84="","",IFERROR(INDEX(Bestand!$B$14:$B$213,MATCH(A84,Bestand!$A$14:$A$213,0)),"ID unbekannt"))</f>
        <v/>
      </c>
      <c r="C84" s="63" t="n"/>
      <c r="D84" s="62" t="n"/>
      <c r="E84" s="60" t="n"/>
      <c r="F84" s="60" t="n"/>
      <c r="G84" s="61" t="n"/>
      <c r="H84" s="69">
        <f>IF(OR(A84="",C84=""),"",COUNTIFS($A$7:$A$1006,A84,$C$7:$C$1006,"&lt;"&amp;C84)+1)</f>
        <v/>
      </c>
      <c r="I84" s="67">
        <f>IF(H84="","",IF(H84=1,"",C84-_xlfn.MAXIFS($C$7:$C$1006,$A$7:$A$1006,A84,$C$7:$C$1006,"&lt;"&amp;C84)))</f>
        <v/>
      </c>
      <c r="J84" s="68">
        <f>IF(I84="","",I84/TpM)</f>
        <v/>
      </c>
      <c r="K84" s="69">
        <f>IF(H84="","",COUNTIFS($A$7:$A$1006,A84,$C$7:$C$1006,"&gt;0")-H84)</f>
        <v/>
      </c>
      <c r="L84" s="69">
        <f>IF(H84="","",A84&amp;"|"&amp;H84)</f>
        <v/>
      </c>
      <c r="M84" s="69">
        <f>IF(A84="","",IFERROR(INDEX(Bestand!$AC$14:$AC$213,MATCH(A84,Bestand!$A$14:$A$213,0)),0))</f>
        <v/>
      </c>
      <c r="N84" s="69">
        <f>IF(OR(H84="",M84&lt;&gt;1),"",C84+ROW()/100000)</f>
        <v/>
      </c>
    </row>
    <row r="85" ht="20" customHeight="1">
      <c r="A85" s="60" t="n"/>
      <c r="B85" s="65">
        <f>IF(A85="","",IFERROR(INDEX(Bestand!$B$14:$B$213,MATCH(A85,Bestand!$A$14:$A$213,0)),"ID unbekannt"))</f>
        <v/>
      </c>
      <c r="C85" s="63" t="n"/>
      <c r="D85" s="62" t="n"/>
      <c r="E85" s="60" t="n"/>
      <c r="F85" s="60" t="n"/>
      <c r="G85" s="61" t="n"/>
      <c r="H85" s="69">
        <f>IF(OR(A85="",C85=""),"",COUNTIFS($A$7:$A$1006,A85,$C$7:$C$1006,"&lt;"&amp;C85)+1)</f>
        <v/>
      </c>
      <c r="I85" s="67">
        <f>IF(H85="","",IF(H85=1,"",C85-_xlfn.MAXIFS($C$7:$C$1006,$A$7:$A$1006,A85,$C$7:$C$1006,"&lt;"&amp;C85)))</f>
        <v/>
      </c>
      <c r="J85" s="68">
        <f>IF(I85="","",I85/TpM)</f>
        <v/>
      </c>
      <c r="K85" s="69">
        <f>IF(H85="","",COUNTIFS($A$7:$A$1006,A85,$C$7:$C$1006,"&gt;0")-H85)</f>
        <v/>
      </c>
      <c r="L85" s="69">
        <f>IF(H85="","",A85&amp;"|"&amp;H85)</f>
        <v/>
      </c>
      <c r="M85" s="69">
        <f>IF(A85="","",IFERROR(INDEX(Bestand!$AC$14:$AC$213,MATCH(A85,Bestand!$A$14:$A$213,0)),0))</f>
        <v/>
      </c>
      <c r="N85" s="69">
        <f>IF(OR(H85="",M85&lt;&gt;1),"",C85+ROW()/100000)</f>
        <v/>
      </c>
    </row>
    <row r="86" ht="20" customHeight="1">
      <c r="A86" s="60" t="n"/>
      <c r="B86" s="65">
        <f>IF(A86="","",IFERROR(INDEX(Bestand!$B$14:$B$213,MATCH(A86,Bestand!$A$14:$A$213,0)),"ID unbekannt"))</f>
        <v/>
      </c>
      <c r="C86" s="63" t="n"/>
      <c r="D86" s="62" t="n"/>
      <c r="E86" s="60" t="n"/>
      <c r="F86" s="60" t="n"/>
      <c r="G86" s="61" t="n"/>
      <c r="H86" s="69">
        <f>IF(OR(A86="",C86=""),"",COUNTIFS($A$7:$A$1006,A86,$C$7:$C$1006,"&lt;"&amp;C86)+1)</f>
        <v/>
      </c>
      <c r="I86" s="67">
        <f>IF(H86="","",IF(H86=1,"",C86-_xlfn.MAXIFS($C$7:$C$1006,$A$7:$A$1006,A86,$C$7:$C$1006,"&lt;"&amp;C86)))</f>
        <v/>
      </c>
      <c r="J86" s="68">
        <f>IF(I86="","",I86/TpM)</f>
        <v/>
      </c>
      <c r="K86" s="69">
        <f>IF(H86="","",COUNTIFS($A$7:$A$1006,A86,$C$7:$C$1006,"&gt;0")-H86)</f>
        <v/>
      </c>
      <c r="L86" s="69">
        <f>IF(H86="","",A86&amp;"|"&amp;H86)</f>
        <v/>
      </c>
      <c r="M86" s="69">
        <f>IF(A86="","",IFERROR(INDEX(Bestand!$AC$14:$AC$213,MATCH(A86,Bestand!$A$14:$A$213,0)),0))</f>
        <v/>
      </c>
      <c r="N86" s="69">
        <f>IF(OR(H86="",M86&lt;&gt;1),"",C86+ROW()/100000)</f>
        <v/>
      </c>
    </row>
    <row r="87" ht="20" customHeight="1">
      <c r="A87" s="60" t="n"/>
      <c r="B87" s="65">
        <f>IF(A87="","",IFERROR(INDEX(Bestand!$B$14:$B$213,MATCH(A87,Bestand!$A$14:$A$213,0)),"ID unbekannt"))</f>
        <v/>
      </c>
      <c r="C87" s="63" t="n"/>
      <c r="D87" s="62" t="n"/>
      <c r="E87" s="60" t="n"/>
      <c r="F87" s="60" t="n"/>
      <c r="G87" s="61" t="n"/>
      <c r="H87" s="69">
        <f>IF(OR(A87="",C87=""),"",COUNTIFS($A$7:$A$1006,A87,$C$7:$C$1006,"&lt;"&amp;C87)+1)</f>
        <v/>
      </c>
      <c r="I87" s="67">
        <f>IF(H87="","",IF(H87=1,"",C87-_xlfn.MAXIFS($C$7:$C$1006,$A$7:$A$1006,A87,$C$7:$C$1006,"&lt;"&amp;C87)))</f>
        <v/>
      </c>
      <c r="J87" s="68">
        <f>IF(I87="","",I87/TpM)</f>
        <v/>
      </c>
      <c r="K87" s="69">
        <f>IF(H87="","",COUNTIFS($A$7:$A$1006,A87,$C$7:$C$1006,"&gt;0")-H87)</f>
        <v/>
      </c>
      <c r="L87" s="69">
        <f>IF(H87="","",A87&amp;"|"&amp;H87)</f>
        <v/>
      </c>
      <c r="M87" s="69">
        <f>IF(A87="","",IFERROR(INDEX(Bestand!$AC$14:$AC$213,MATCH(A87,Bestand!$A$14:$A$213,0)),0))</f>
        <v/>
      </c>
      <c r="N87" s="69">
        <f>IF(OR(H87="",M87&lt;&gt;1),"",C87+ROW()/100000)</f>
        <v/>
      </c>
    </row>
    <row r="88" ht="20" customHeight="1">
      <c r="A88" s="60" t="n"/>
      <c r="B88" s="65">
        <f>IF(A88="","",IFERROR(INDEX(Bestand!$B$14:$B$213,MATCH(A88,Bestand!$A$14:$A$213,0)),"ID unbekannt"))</f>
        <v/>
      </c>
      <c r="C88" s="63" t="n"/>
      <c r="D88" s="62" t="n"/>
      <c r="E88" s="60" t="n"/>
      <c r="F88" s="60" t="n"/>
      <c r="G88" s="61" t="n"/>
      <c r="H88" s="69">
        <f>IF(OR(A88="",C88=""),"",COUNTIFS($A$7:$A$1006,A88,$C$7:$C$1006,"&lt;"&amp;C88)+1)</f>
        <v/>
      </c>
      <c r="I88" s="67">
        <f>IF(H88="","",IF(H88=1,"",C88-_xlfn.MAXIFS($C$7:$C$1006,$A$7:$A$1006,A88,$C$7:$C$1006,"&lt;"&amp;C88)))</f>
        <v/>
      </c>
      <c r="J88" s="68">
        <f>IF(I88="","",I88/TpM)</f>
        <v/>
      </c>
      <c r="K88" s="69">
        <f>IF(H88="","",COUNTIFS($A$7:$A$1006,A88,$C$7:$C$1006,"&gt;0")-H88)</f>
        <v/>
      </c>
      <c r="L88" s="69">
        <f>IF(H88="","",A88&amp;"|"&amp;H88)</f>
        <v/>
      </c>
      <c r="M88" s="69">
        <f>IF(A88="","",IFERROR(INDEX(Bestand!$AC$14:$AC$213,MATCH(A88,Bestand!$A$14:$A$213,0)),0))</f>
        <v/>
      </c>
      <c r="N88" s="69">
        <f>IF(OR(H88="",M88&lt;&gt;1),"",C88+ROW()/100000)</f>
        <v/>
      </c>
    </row>
    <row r="89" ht="20" customHeight="1">
      <c r="A89" s="60" t="n"/>
      <c r="B89" s="65">
        <f>IF(A89="","",IFERROR(INDEX(Bestand!$B$14:$B$213,MATCH(A89,Bestand!$A$14:$A$213,0)),"ID unbekannt"))</f>
        <v/>
      </c>
      <c r="C89" s="63" t="n"/>
      <c r="D89" s="62" t="n"/>
      <c r="E89" s="60" t="n"/>
      <c r="F89" s="60" t="n"/>
      <c r="G89" s="61" t="n"/>
      <c r="H89" s="69">
        <f>IF(OR(A89="",C89=""),"",COUNTIFS($A$7:$A$1006,A89,$C$7:$C$1006,"&lt;"&amp;C89)+1)</f>
        <v/>
      </c>
      <c r="I89" s="67">
        <f>IF(H89="","",IF(H89=1,"",C89-_xlfn.MAXIFS($C$7:$C$1006,$A$7:$A$1006,A89,$C$7:$C$1006,"&lt;"&amp;C89)))</f>
        <v/>
      </c>
      <c r="J89" s="68">
        <f>IF(I89="","",I89/TpM)</f>
        <v/>
      </c>
      <c r="K89" s="69">
        <f>IF(H89="","",COUNTIFS($A$7:$A$1006,A89,$C$7:$C$1006,"&gt;0")-H89)</f>
        <v/>
      </c>
      <c r="L89" s="69">
        <f>IF(H89="","",A89&amp;"|"&amp;H89)</f>
        <v/>
      </c>
      <c r="M89" s="69">
        <f>IF(A89="","",IFERROR(INDEX(Bestand!$AC$14:$AC$213,MATCH(A89,Bestand!$A$14:$A$213,0)),0))</f>
        <v/>
      </c>
      <c r="N89" s="69">
        <f>IF(OR(H89="",M89&lt;&gt;1),"",C89+ROW()/100000)</f>
        <v/>
      </c>
    </row>
    <row r="90" ht="20" customHeight="1">
      <c r="A90" s="60" t="n"/>
      <c r="B90" s="65">
        <f>IF(A90="","",IFERROR(INDEX(Bestand!$B$14:$B$213,MATCH(A90,Bestand!$A$14:$A$213,0)),"ID unbekannt"))</f>
        <v/>
      </c>
      <c r="C90" s="63" t="n"/>
      <c r="D90" s="62" t="n"/>
      <c r="E90" s="60" t="n"/>
      <c r="F90" s="60" t="n"/>
      <c r="G90" s="61" t="n"/>
      <c r="H90" s="69">
        <f>IF(OR(A90="",C90=""),"",COUNTIFS($A$7:$A$1006,A90,$C$7:$C$1006,"&lt;"&amp;C90)+1)</f>
        <v/>
      </c>
      <c r="I90" s="67">
        <f>IF(H90="","",IF(H90=1,"",C90-_xlfn.MAXIFS($C$7:$C$1006,$A$7:$A$1006,A90,$C$7:$C$1006,"&lt;"&amp;C90)))</f>
        <v/>
      </c>
      <c r="J90" s="68">
        <f>IF(I90="","",I90/TpM)</f>
        <v/>
      </c>
      <c r="K90" s="69">
        <f>IF(H90="","",COUNTIFS($A$7:$A$1006,A90,$C$7:$C$1006,"&gt;0")-H90)</f>
        <v/>
      </c>
      <c r="L90" s="69">
        <f>IF(H90="","",A90&amp;"|"&amp;H90)</f>
        <v/>
      </c>
      <c r="M90" s="69">
        <f>IF(A90="","",IFERROR(INDEX(Bestand!$AC$14:$AC$213,MATCH(A90,Bestand!$A$14:$A$213,0)),0))</f>
        <v/>
      </c>
      <c r="N90" s="69">
        <f>IF(OR(H90="",M90&lt;&gt;1),"",C90+ROW()/100000)</f>
        <v/>
      </c>
    </row>
    <row r="91" ht="20" customHeight="1">
      <c r="A91" s="60" t="n"/>
      <c r="B91" s="65">
        <f>IF(A91="","",IFERROR(INDEX(Bestand!$B$14:$B$213,MATCH(A91,Bestand!$A$14:$A$213,0)),"ID unbekannt"))</f>
        <v/>
      </c>
      <c r="C91" s="63" t="n"/>
      <c r="D91" s="62" t="n"/>
      <c r="E91" s="60" t="n"/>
      <c r="F91" s="60" t="n"/>
      <c r="G91" s="61" t="n"/>
      <c r="H91" s="69">
        <f>IF(OR(A91="",C91=""),"",COUNTIFS($A$7:$A$1006,A91,$C$7:$C$1006,"&lt;"&amp;C91)+1)</f>
        <v/>
      </c>
      <c r="I91" s="67">
        <f>IF(H91="","",IF(H91=1,"",C91-_xlfn.MAXIFS($C$7:$C$1006,$A$7:$A$1006,A91,$C$7:$C$1006,"&lt;"&amp;C91)))</f>
        <v/>
      </c>
      <c r="J91" s="68">
        <f>IF(I91="","",I91/TpM)</f>
        <v/>
      </c>
      <c r="K91" s="69">
        <f>IF(H91="","",COUNTIFS($A$7:$A$1006,A91,$C$7:$C$1006,"&gt;0")-H91)</f>
        <v/>
      </c>
      <c r="L91" s="69">
        <f>IF(H91="","",A91&amp;"|"&amp;H91)</f>
        <v/>
      </c>
      <c r="M91" s="69">
        <f>IF(A91="","",IFERROR(INDEX(Bestand!$AC$14:$AC$213,MATCH(A91,Bestand!$A$14:$A$213,0)),0))</f>
        <v/>
      </c>
      <c r="N91" s="69">
        <f>IF(OR(H91="",M91&lt;&gt;1),"",C91+ROW()/100000)</f>
        <v/>
      </c>
    </row>
    <row r="92" ht="20" customHeight="1">
      <c r="A92" s="60" t="n"/>
      <c r="B92" s="65">
        <f>IF(A92="","",IFERROR(INDEX(Bestand!$B$14:$B$213,MATCH(A92,Bestand!$A$14:$A$213,0)),"ID unbekannt"))</f>
        <v/>
      </c>
      <c r="C92" s="63" t="n"/>
      <c r="D92" s="62" t="n"/>
      <c r="E92" s="60" t="n"/>
      <c r="F92" s="60" t="n"/>
      <c r="G92" s="61" t="n"/>
      <c r="H92" s="69">
        <f>IF(OR(A92="",C92=""),"",COUNTIFS($A$7:$A$1006,A92,$C$7:$C$1006,"&lt;"&amp;C92)+1)</f>
        <v/>
      </c>
      <c r="I92" s="67">
        <f>IF(H92="","",IF(H92=1,"",C92-_xlfn.MAXIFS($C$7:$C$1006,$A$7:$A$1006,A92,$C$7:$C$1006,"&lt;"&amp;C92)))</f>
        <v/>
      </c>
      <c r="J92" s="68">
        <f>IF(I92="","",I92/TpM)</f>
        <v/>
      </c>
      <c r="K92" s="69">
        <f>IF(H92="","",COUNTIFS($A$7:$A$1006,A92,$C$7:$C$1006,"&gt;0")-H92)</f>
        <v/>
      </c>
      <c r="L92" s="69">
        <f>IF(H92="","",A92&amp;"|"&amp;H92)</f>
        <v/>
      </c>
      <c r="M92" s="69">
        <f>IF(A92="","",IFERROR(INDEX(Bestand!$AC$14:$AC$213,MATCH(A92,Bestand!$A$14:$A$213,0)),0))</f>
        <v/>
      </c>
      <c r="N92" s="69">
        <f>IF(OR(H92="",M92&lt;&gt;1),"",C92+ROW()/100000)</f>
        <v/>
      </c>
    </row>
    <row r="93" ht="20" customHeight="1">
      <c r="A93" s="60" t="n"/>
      <c r="B93" s="65">
        <f>IF(A93="","",IFERROR(INDEX(Bestand!$B$14:$B$213,MATCH(A93,Bestand!$A$14:$A$213,0)),"ID unbekannt"))</f>
        <v/>
      </c>
      <c r="C93" s="63" t="n"/>
      <c r="D93" s="62" t="n"/>
      <c r="E93" s="60" t="n"/>
      <c r="F93" s="60" t="n"/>
      <c r="G93" s="61" t="n"/>
      <c r="H93" s="69">
        <f>IF(OR(A93="",C93=""),"",COUNTIFS($A$7:$A$1006,A93,$C$7:$C$1006,"&lt;"&amp;C93)+1)</f>
        <v/>
      </c>
      <c r="I93" s="67">
        <f>IF(H93="","",IF(H93=1,"",C93-_xlfn.MAXIFS($C$7:$C$1006,$A$7:$A$1006,A93,$C$7:$C$1006,"&lt;"&amp;C93)))</f>
        <v/>
      </c>
      <c r="J93" s="68">
        <f>IF(I93="","",I93/TpM)</f>
        <v/>
      </c>
      <c r="K93" s="69">
        <f>IF(H93="","",COUNTIFS($A$7:$A$1006,A93,$C$7:$C$1006,"&gt;0")-H93)</f>
        <v/>
      </c>
      <c r="L93" s="69">
        <f>IF(H93="","",A93&amp;"|"&amp;H93)</f>
        <v/>
      </c>
      <c r="M93" s="69">
        <f>IF(A93="","",IFERROR(INDEX(Bestand!$AC$14:$AC$213,MATCH(A93,Bestand!$A$14:$A$213,0)),0))</f>
        <v/>
      </c>
      <c r="N93" s="69">
        <f>IF(OR(H93="",M93&lt;&gt;1),"",C93+ROW()/100000)</f>
        <v/>
      </c>
    </row>
    <row r="94" ht="20" customHeight="1">
      <c r="A94" s="60" t="n"/>
      <c r="B94" s="65">
        <f>IF(A94="","",IFERROR(INDEX(Bestand!$B$14:$B$213,MATCH(A94,Bestand!$A$14:$A$213,0)),"ID unbekannt"))</f>
        <v/>
      </c>
      <c r="C94" s="63" t="n"/>
      <c r="D94" s="62" t="n"/>
      <c r="E94" s="60" t="n"/>
      <c r="F94" s="60" t="n"/>
      <c r="G94" s="61" t="n"/>
      <c r="H94" s="69">
        <f>IF(OR(A94="",C94=""),"",COUNTIFS($A$7:$A$1006,A94,$C$7:$C$1006,"&lt;"&amp;C94)+1)</f>
        <v/>
      </c>
      <c r="I94" s="67">
        <f>IF(H94="","",IF(H94=1,"",C94-_xlfn.MAXIFS($C$7:$C$1006,$A$7:$A$1006,A94,$C$7:$C$1006,"&lt;"&amp;C94)))</f>
        <v/>
      </c>
      <c r="J94" s="68">
        <f>IF(I94="","",I94/TpM)</f>
        <v/>
      </c>
      <c r="K94" s="69">
        <f>IF(H94="","",COUNTIFS($A$7:$A$1006,A94,$C$7:$C$1006,"&gt;0")-H94)</f>
        <v/>
      </c>
      <c r="L94" s="69">
        <f>IF(H94="","",A94&amp;"|"&amp;H94)</f>
        <v/>
      </c>
      <c r="M94" s="69">
        <f>IF(A94="","",IFERROR(INDEX(Bestand!$AC$14:$AC$213,MATCH(A94,Bestand!$A$14:$A$213,0)),0))</f>
        <v/>
      </c>
      <c r="N94" s="69">
        <f>IF(OR(H94="",M94&lt;&gt;1),"",C94+ROW()/100000)</f>
        <v/>
      </c>
    </row>
    <row r="95" ht="20" customHeight="1">
      <c r="A95" s="60" t="n"/>
      <c r="B95" s="65">
        <f>IF(A95="","",IFERROR(INDEX(Bestand!$B$14:$B$213,MATCH(A95,Bestand!$A$14:$A$213,0)),"ID unbekannt"))</f>
        <v/>
      </c>
      <c r="C95" s="63" t="n"/>
      <c r="D95" s="62" t="n"/>
      <c r="E95" s="60" t="n"/>
      <c r="F95" s="60" t="n"/>
      <c r="G95" s="61" t="n"/>
      <c r="H95" s="69">
        <f>IF(OR(A95="",C95=""),"",COUNTIFS($A$7:$A$1006,A95,$C$7:$C$1006,"&lt;"&amp;C95)+1)</f>
        <v/>
      </c>
      <c r="I95" s="67">
        <f>IF(H95="","",IF(H95=1,"",C95-_xlfn.MAXIFS($C$7:$C$1006,$A$7:$A$1006,A95,$C$7:$C$1006,"&lt;"&amp;C95)))</f>
        <v/>
      </c>
      <c r="J95" s="68">
        <f>IF(I95="","",I95/TpM)</f>
        <v/>
      </c>
      <c r="K95" s="69">
        <f>IF(H95="","",COUNTIFS($A$7:$A$1006,A95,$C$7:$C$1006,"&gt;0")-H95)</f>
        <v/>
      </c>
      <c r="L95" s="69">
        <f>IF(H95="","",A95&amp;"|"&amp;H95)</f>
        <v/>
      </c>
      <c r="M95" s="69">
        <f>IF(A95="","",IFERROR(INDEX(Bestand!$AC$14:$AC$213,MATCH(A95,Bestand!$A$14:$A$213,0)),0))</f>
        <v/>
      </c>
      <c r="N95" s="69">
        <f>IF(OR(H95="",M95&lt;&gt;1),"",C95+ROW()/100000)</f>
        <v/>
      </c>
    </row>
    <row r="96" ht="20" customHeight="1">
      <c r="A96" s="60" t="n"/>
      <c r="B96" s="65">
        <f>IF(A96="","",IFERROR(INDEX(Bestand!$B$14:$B$213,MATCH(A96,Bestand!$A$14:$A$213,0)),"ID unbekannt"))</f>
        <v/>
      </c>
      <c r="C96" s="63" t="n"/>
      <c r="D96" s="62" t="n"/>
      <c r="E96" s="60" t="n"/>
      <c r="F96" s="60" t="n"/>
      <c r="G96" s="61" t="n"/>
      <c r="H96" s="69">
        <f>IF(OR(A96="",C96=""),"",COUNTIFS($A$7:$A$1006,A96,$C$7:$C$1006,"&lt;"&amp;C96)+1)</f>
        <v/>
      </c>
      <c r="I96" s="67">
        <f>IF(H96="","",IF(H96=1,"",C96-_xlfn.MAXIFS($C$7:$C$1006,$A$7:$A$1006,A96,$C$7:$C$1006,"&lt;"&amp;C96)))</f>
        <v/>
      </c>
      <c r="J96" s="68">
        <f>IF(I96="","",I96/TpM)</f>
        <v/>
      </c>
      <c r="K96" s="69">
        <f>IF(H96="","",COUNTIFS($A$7:$A$1006,A96,$C$7:$C$1006,"&gt;0")-H96)</f>
        <v/>
      </c>
      <c r="L96" s="69">
        <f>IF(H96="","",A96&amp;"|"&amp;H96)</f>
        <v/>
      </c>
      <c r="M96" s="69">
        <f>IF(A96="","",IFERROR(INDEX(Bestand!$AC$14:$AC$213,MATCH(A96,Bestand!$A$14:$A$213,0)),0))</f>
        <v/>
      </c>
      <c r="N96" s="69">
        <f>IF(OR(H96="",M96&lt;&gt;1),"",C96+ROW()/100000)</f>
        <v/>
      </c>
    </row>
    <row r="97" ht="20" customHeight="1">
      <c r="A97" s="60" t="n"/>
      <c r="B97" s="65">
        <f>IF(A97="","",IFERROR(INDEX(Bestand!$B$14:$B$213,MATCH(A97,Bestand!$A$14:$A$213,0)),"ID unbekannt"))</f>
        <v/>
      </c>
      <c r="C97" s="63" t="n"/>
      <c r="D97" s="62" t="n"/>
      <c r="E97" s="60" t="n"/>
      <c r="F97" s="60" t="n"/>
      <c r="G97" s="61" t="n"/>
      <c r="H97" s="69">
        <f>IF(OR(A97="",C97=""),"",COUNTIFS($A$7:$A$1006,A97,$C$7:$C$1006,"&lt;"&amp;C97)+1)</f>
        <v/>
      </c>
      <c r="I97" s="67">
        <f>IF(H97="","",IF(H97=1,"",C97-_xlfn.MAXIFS($C$7:$C$1006,$A$7:$A$1006,A97,$C$7:$C$1006,"&lt;"&amp;C97)))</f>
        <v/>
      </c>
      <c r="J97" s="68">
        <f>IF(I97="","",I97/TpM)</f>
        <v/>
      </c>
      <c r="K97" s="69">
        <f>IF(H97="","",COUNTIFS($A$7:$A$1006,A97,$C$7:$C$1006,"&gt;0")-H97)</f>
        <v/>
      </c>
      <c r="L97" s="69">
        <f>IF(H97="","",A97&amp;"|"&amp;H97)</f>
        <v/>
      </c>
      <c r="M97" s="69">
        <f>IF(A97="","",IFERROR(INDEX(Bestand!$AC$14:$AC$213,MATCH(A97,Bestand!$A$14:$A$213,0)),0))</f>
        <v/>
      </c>
      <c r="N97" s="69">
        <f>IF(OR(H97="",M97&lt;&gt;1),"",C97+ROW()/100000)</f>
        <v/>
      </c>
    </row>
    <row r="98" ht="20" customHeight="1">
      <c r="A98" s="60" t="n"/>
      <c r="B98" s="65">
        <f>IF(A98="","",IFERROR(INDEX(Bestand!$B$14:$B$213,MATCH(A98,Bestand!$A$14:$A$213,0)),"ID unbekannt"))</f>
        <v/>
      </c>
      <c r="C98" s="63" t="n"/>
      <c r="D98" s="62" t="n"/>
      <c r="E98" s="60" t="n"/>
      <c r="F98" s="60" t="n"/>
      <c r="G98" s="61" t="n"/>
      <c r="H98" s="69">
        <f>IF(OR(A98="",C98=""),"",COUNTIFS($A$7:$A$1006,A98,$C$7:$C$1006,"&lt;"&amp;C98)+1)</f>
        <v/>
      </c>
      <c r="I98" s="67">
        <f>IF(H98="","",IF(H98=1,"",C98-_xlfn.MAXIFS($C$7:$C$1006,$A$7:$A$1006,A98,$C$7:$C$1006,"&lt;"&amp;C98)))</f>
        <v/>
      </c>
      <c r="J98" s="68">
        <f>IF(I98="","",I98/TpM)</f>
        <v/>
      </c>
      <c r="K98" s="69">
        <f>IF(H98="","",COUNTIFS($A$7:$A$1006,A98,$C$7:$C$1006,"&gt;0")-H98)</f>
        <v/>
      </c>
      <c r="L98" s="69">
        <f>IF(H98="","",A98&amp;"|"&amp;H98)</f>
        <v/>
      </c>
      <c r="M98" s="69">
        <f>IF(A98="","",IFERROR(INDEX(Bestand!$AC$14:$AC$213,MATCH(A98,Bestand!$A$14:$A$213,0)),0))</f>
        <v/>
      </c>
      <c r="N98" s="69">
        <f>IF(OR(H98="",M98&lt;&gt;1),"",C98+ROW()/100000)</f>
        <v/>
      </c>
    </row>
    <row r="99" ht="20" customHeight="1">
      <c r="A99" s="60" t="n"/>
      <c r="B99" s="65">
        <f>IF(A99="","",IFERROR(INDEX(Bestand!$B$14:$B$213,MATCH(A99,Bestand!$A$14:$A$213,0)),"ID unbekannt"))</f>
        <v/>
      </c>
      <c r="C99" s="63" t="n"/>
      <c r="D99" s="62" t="n"/>
      <c r="E99" s="60" t="n"/>
      <c r="F99" s="60" t="n"/>
      <c r="G99" s="61" t="n"/>
      <c r="H99" s="69">
        <f>IF(OR(A99="",C99=""),"",COUNTIFS($A$7:$A$1006,A99,$C$7:$C$1006,"&lt;"&amp;C99)+1)</f>
        <v/>
      </c>
      <c r="I99" s="67">
        <f>IF(H99="","",IF(H99=1,"",C99-_xlfn.MAXIFS($C$7:$C$1006,$A$7:$A$1006,A99,$C$7:$C$1006,"&lt;"&amp;C99)))</f>
        <v/>
      </c>
      <c r="J99" s="68">
        <f>IF(I99="","",I99/TpM)</f>
        <v/>
      </c>
      <c r="K99" s="69">
        <f>IF(H99="","",COUNTIFS($A$7:$A$1006,A99,$C$7:$C$1006,"&gt;0")-H99)</f>
        <v/>
      </c>
      <c r="L99" s="69">
        <f>IF(H99="","",A99&amp;"|"&amp;H99)</f>
        <v/>
      </c>
      <c r="M99" s="69">
        <f>IF(A99="","",IFERROR(INDEX(Bestand!$AC$14:$AC$213,MATCH(A99,Bestand!$A$14:$A$213,0)),0))</f>
        <v/>
      </c>
      <c r="N99" s="69">
        <f>IF(OR(H99="",M99&lt;&gt;1),"",C99+ROW()/100000)</f>
        <v/>
      </c>
    </row>
    <row r="100" ht="20" customHeight="1">
      <c r="A100" s="60" t="n"/>
      <c r="B100" s="65">
        <f>IF(A100="","",IFERROR(INDEX(Bestand!$B$14:$B$213,MATCH(A100,Bestand!$A$14:$A$213,0)),"ID unbekannt"))</f>
        <v/>
      </c>
      <c r="C100" s="63" t="n"/>
      <c r="D100" s="62" t="n"/>
      <c r="E100" s="60" t="n"/>
      <c r="F100" s="60" t="n"/>
      <c r="G100" s="61" t="n"/>
      <c r="H100" s="69">
        <f>IF(OR(A100="",C100=""),"",COUNTIFS($A$7:$A$1006,A100,$C$7:$C$1006,"&lt;"&amp;C100)+1)</f>
        <v/>
      </c>
      <c r="I100" s="67">
        <f>IF(H100="","",IF(H100=1,"",C100-_xlfn.MAXIFS($C$7:$C$1006,$A$7:$A$1006,A100,$C$7:$C$1006,"&lt;"&amp;C100)))</f>
        <v/>
      </c>
      <c r="J100" s="68">
        <f>IF(I100="","",I100/TpM)</f>
        <v/>
      </c>
      <c r="K100" s="69">
        <f>IF(H100="","",COUNTIFS($A$7:$A$1006,A100,$C$7:$C$1006,"&gt;0")-H100)</f>
        <v/>
      </c>
      <c r="L100" s="69">
        <f>IF(H100="","",A100&amp;"|"&amp;H100)</f>
        <v/>
      </c>
      <c r="M100" s="69">
        <f>IF(A100="","",IFERROR(INDEX(Bestand!$AC$14:$AC$213,MATCH(A100,Bestand!$A$14:$A$213,0)),0))</f>
        <v/>
      </c>
      <c r="N100" s="69">
        <f>IF(OR(H100="",M100&lt;&gt;1),"",C100+ROW()/100000)</f>
        <v/>
      </c>
    </row>
    <row r="101" ht="20" customHeight="1">
      <c r="A101" s="60" t="n"/>
      <c r="B101" s="65">
        <f>IF(A101="","",IFERROR(INDEX(Bestand!$B$14:$B$213,MATCH(A101,Bestand!$A$14:$A$213,0)),"ID unbekannt"))</f>
        <v/>
      </c>
      <c r="C101" s="63" t="n"/>
      <c r="D101" s="62" t="n"/>
      <c r="E101" s="60" t="n"/>
      <c r="F101" s="60" t="n"/>
      <c r="G101" s="61" t="n"/>
      <c r="H101" s="69">
        <f>IF(OR(A101="",C101=""),"",COUNTIFS($A$7:$A$1006,A101,$C$7:$C$1006,"&lt;"&amp;C101)+1)</f>
        <v/>
      </c>
      <c r="I101" s="67">
        <f>IF(H101="","",IF(H101=1,"",C101-_xlfn.MAXIFS($C$7:$C$1006,$A$7:$A$1006,A101,$C$7:$C$1006,"&lt;"&amp;C101)))</f>
        <v/>
      </c>
      <c r="J101" s="68">
        <f>IF(I101="","",I101/TpM)</f>
        <v/>
      </c>
      <c r="K101" s="69">
        <f>IF(H101="","",COUNTIFS($A$7:$A$1006,A101,$C$7:$C$1006,"&gt;0")-H101)</f>
        <v/>
      </c>
      <c r="L101" s="69">
        <f>IF(H101="","",A101&amp;"|"&amp;H101)</f>
        <v/>
      </c>
      <c r="M101" s="69">
        <f>IF(A101="","",IFERROR(INDEX(Bestand!$AC$14:$AC$213,MATCH(A101,Bestand!$A$14:$A$213,0)),0))</f>
        <v/>
      </c>
      <c r="N101" s="69">
        <f>IF(OR(H101="",M101&lt;&gt;1),"",C101+ROW()/100000)</f>
        <v/>
      </c>
    </row>
    <row r="102" ht="20" customHeight="1">
      <c r="A102" s="60" t="n"/>
      <c r="B102" s="65">
        <f>IF(A102="","",IFERROR(INDEX(Bestand!$B$14:$B$213,MATCH(A102,Bestand!$A$14:$A$213,0)),"ID unbekannt"))</f>
        <v/>
      </c>
      <c r="C102" s="63" t="n"/>
      <c r="D102" s="62" t="n"/>
      <c r="E102" s="60" t="n"/>
      <c r="F102" s="60" t="n"/>
      <c r="G102" s="61" t="n"/>
      <c r="H102" s="69">
        <f>IF(OR(A102="",C102=""),"",COUNTIFS($A$7:$A$1006,A102,$C$7:$C$1006,"&lt;"&amp;C102)+1)</f>
        <v/>
      </c>
      <c r="I102" s="67">
        <f>IF(H102="","",IF(H102=1,"",C102-_xlfn.MAXIFS($C$7:$C$1006,$A$7:$A$1006,A102,$C$7:$C$1006,"&lt;"&amp;C102)))</f>
        <v/>
      </c>
      <c r="J102" s="68">
        <f>IF(I102="","",I102/TpM)</f>
        <v/>
      </c>
      <c r="K102" s="69">
        <f>IF(H102="","",COUNTIFS($A$7:$A$1006,A102,$C$7:$C$1006,"&gt;0")-H102)</f>
        <v/>
      </c>
      <c r="L102" s="69">
        <f>IF(H102="","",A102&amp;"|"&amp;H102)</f>
        <v/>
      </c>
      <c r="M102" s="69">
        <f>IF(A102="","",IFERROR(INDEX(Bestand!$AC$14:$AC$213,MATCH(A102,Bestand!$A$14:$A$213,0)),0))</f>
        <v/>
      </c>
      <c r="N102" s="69">
        <f>IF(OR(H102="",M102&lt;&gt;1),"",C102+ROW()/100000)</f>
        <v/>
      </c>
    </row>
    <row r="103" ht="20" customHeight="1">
      <c r="A103" s="60" t="n"/>
      <c r="B103" s="65">
        <f>IF(A103="","",IFERROR(INDEX(Bestand!$B$14:$B$213,MATCH(A103,Bestand!$A$14:$A$213,0)),"ID unbekannt"))</f>
        <v/>
      </c>
      <c r="C103" s="63" t="n"/>
      <c r="D103" s="62" t="n"/>
      <c r="E103" s="60" t="n"/>
      <c r="F103" s="60" t="n"/>
      <c r="G103" s="61" t="n"/>
      <c r="H103" s="69">
        <f>IF(OR(A103="",C103=""),"",COUNTIFS($A$7:$A$1006,A103,$C$7:$C$1006,"&lt;"&amp;C103)+1)</f>
        <v/>
      </c>
      <c r="I103" s="67">
        <f>IF(H103="","",IF(H103=1,"",C103-_xlfn.MAXIFS($C$7:$C$1006,$A$7:$A$1006,A103,$C$7:$C$1006,"&lt;"&amp;C103)))</f>
        <v/>
      </c>
      <c r="J103" s="68">
        <f>IF(I103="","",I103/TpM)</f>
        <v/>
      </c>
      <c r="K103" s="69">
        <f>IF(H103="","",COUNTIFS($A$7:$A$1006,A103,$C$7:$C$1006,"&gt;0")-H103)</f>
        <v/>
      </c>
      <c r="L103" s="69">
        <f>IF(H103="","",A103&amp;"|"&amp;H103)</f>
        <v/>
      </c>
      <c r="M103" s="69">
        <f>IF(A103="","",IFERROR(INDEX(Bestand!$AC$14:$AC$213,MATCH(A103,Bestand!$A$14:$A$213,0)),0))</f>
        <v/>
      </c>
      <c r="N103" s="69">
        <f>IF(OR(H103="",M103&lt;&gt;1),"",C103+ROW()/100000)</f>
        <v/>
      </c>
    </row>
    <row r="104" ht="20" customHeight="1">
      <c r="A104" s="60" t="n"/>
      <c r="B104" s="65">
        <f>IF(A104="","",IFERROR(INDEX(Bestand!$B$14:$B$213,MATCH(A104,Bestand!$A$14:$A$213,0)),"ID unbekannt"))</f>
        <v/>
      </c>
      <c r="C104" s="63" t="n"/>
      <c r="D104" s="62" t="n"/>
      <c r="E104" s="60" t="n"/>
      <c r="F104" s="60" t="n"/>
      <c r="G104" s="61" t="n"/>
      <c r="H104" s="69">
        <f>IF(OR(A104="",C104=""),"",COUNTIFS($A$7:$A$1006,A104,$C$7:$C$1006,"&lt;"&amp;C104)+1)</f>
        <v/>
      </c>
      <c r="I104" s="67">
        <f>IF(H104="","",IF(H104=1,"",C104-_xlfn.MAXIFS($C$7:$C$1006,$A$7:$A$1006,A104,$C$7:$C$1006,"&lt;"&amp;C104)))</f>
        <v/>
      </c>
      <c r="J104" s="68">
        <f>IF(I104="","",I104/TpM)</f>
        <v/>
      </c>
      <c r="K104" s="69">
        <f>IF(H104="","",COUNTIFS($A$7:$A$1006,A104,$C$7:$C$1006,"&gt;0")-H104)</f>
        <v/>
      </c>
      <c r="L104" s="69">
        <f>IF(H104="","",A104&amp;"|"&amp;H104)</f>
        <v/>
      </c>
      <c r="M104" s="69">
        <f>IF(A104="","",IFERROR(INDEX(Bestand!$AC$14:$AC$213,MATCH(A104,Bestand!$A$14:$A$213,0)),0))</f>
        <v/>
      </c>
      <c r="N104" s="69">
        <f>IF(OR(H104="",M104&lt;&gt;1),"",C104+ROW()/100000)</f>
        <v/>
      </c>
    </row>
    <row r="105" ht="20" customHeight="1">
      <c r="A105" s="60" t="n"/>
      <c r="B105" s="65">
        <f>IF(A105="","",IFERROR(INDEX(Bestand!$B$14:$B$213,MATCH(A105,Bestand!$A$14:$A$213,0)),"ID unbekannt"))</f>
        <v/>
      </c>
      <c r="C105" s="63" t="n"/>
      <c r="D105" s="62" t="n"/>
      <c r="E105" s="60" t="n"/>
      <c r="F105" s="60" t="n"/>
      <c r="G105" s="61" t="n"/>
      <c r="H105" s="69">
        <f>IF(OR(A105="",C105=""),"",COUNTIFS($A$7:$A$1006,A105,$C$7:$C$1006,"&lt;"&amp;C105)+1)</f>
        <v/>
      </c>
      <c r="I105" s="67">
        <f>IF(H105="","",IF(H105=1,"",C105-_xlfn.MAXIFS($C$7:$C$1006,$A$7:$A$1006,A105,$C$7:$C$1006,"&lt;"&amp;C105)))</f>
        <v/>
      </c>
      <c r="J105" s="68">
        <f>IF(I105="","",I105/TpM)</f>
        <v/>
      </c>
      <c r="K105" s="69">
        <f>IF(H105="","",COUNTIFS($A$7:$A$1006,A105,$C$7:$C$1006,"&gt;0")-H105)</f>
        <v/>
      </c>
      <c r="L105" s="69">
        <f>IF(H105="","",A105&amp;"|"&amp;H105)</f>
        <v/>
      </c>
      <c r="M105" s="69">
        <f>IF(A105="","",IFERROR(INDEX(Bestand!$AC$14:$AC$213,MATCH(A105,Bestand!$A$14:$A$213,0)),0))</f>
        <v/>
      </c>
      <c r="N105" s="69">
        <f>IF(OR(H105="",M105&lt;&gt;1),"",C105+ROW()/100000)</f>
        <v/>
      </c>
    </row>
    <row r="106" ht="20" customHeight="1">
      <c r="A106" s="60" t="n"/>
      <c r="B106" s="65">
        <f>IF(A106="","",IFERROR(INDEX(Bestand!$B$14:$B$213,MATCH(A106,Bestand!$A$14:$A$213,0)),"ID unbekannt"))</f>
        <v/>
      </c>
      <c r="C106" s="63" t="n"/>
      <c r="D106" s="62" t="n"/>
      <c r="E106" s="60" t="n"/>
      <c r="F106" s="60" t="n"/>
      <c r="G106" s="61" t="n"/>
      <c r="H106" s="69">
        <f>IF(OR(A106="",C106=""),"",COUNTIFS($A$7:$A$1006,A106,$C$7:$C$1006,"&lt;"&amp;C106)+1)</f>
        <v/>
      </c>
      <c r="I106" s="67">
        <f>IF(H106="","",IF(H106=1,"",C106-_xlfn.MAXIFS($C$7:$C$1006,$A$7:$A$1006,A106,$C$7:$C$1006,"&lt;"&amp;C106)))</f>
        <v/>
      </c>
      <c r="J106" s="68">
        <f>IF(I106="","",I106/TpM)</f>
        <v/>
      </c>
      <c r="K106" s="69">
        <f>IF(H106="","",COUNTIFS($A$7:$A$1006,A106,$C$7:$C$1006,"&gt;0")-H106)</f>
        <v/>
      </c>
      <c r="L106" s="69">
        <f>IF(H106="","",A106&amp;"|"&amp;H106)</f>
        <v/>
      </c>
      <c r="M106" s="69">
        <f>IF(A106="","",IFERROR(INDEX(Bestand!$AC$14:$AC$213,MATCH(A106,Bestand!$A$14:$A$213,0)),0))</f>
        <v/>
      </c>
      <c r="N106" s="69">
        <f>IF(OR(H106="",M106&lt;&gt;1),"",C106+ROW()/100000)</f>
        <v/>
      </c>
    </row>
    <row r="107" ht="20" customHeight="1">
      <c r="A107" s="60" t="n"/>
      <c r="B107" s="65">
        <f>IF(A107="","",IFERROR(INDEX(Bestand!$B$14:$B$213,MATCH(A107,Bestand!$A$14:$A$213,0)),"ID unbekannt"))</f>
        <v/>
      </c>
      <c r="C107" s="63" t="n"/>
      <c r="D107" s="62" t="n"/>
      <c r="E107" s="60" t="n"/>
      <c r="F107" s="60" t="n"/>
      <c r="G107" s="61" t="n"/>
      <c r="H107" s="69">
        <f>IF(OR(A107="",C107=""),"",COUNTIFS($A$7:$A$1006,A107,$C$7:$C$1006,"&lt;"&amp;C107)+1)</f>
        <v/>
      </c>
      <c r="I107" s="67">
        <f>IF(H107="","",IF(H107=1,"",C107-_xlfn.MAXIFS($C$7:$C$1006,$A$7:$A$1006,A107,$C$7:$C$1006,"&lt;"&amp;C107)))</f>
        <v/>
      </c>
      <c r="J107" s="68">
        <f>IF(I107="","",I107/TpM)</f>
        <v/>
      </c>
      <c r="K107" s="69">
        <f>IF(H107="","",COUNTIFS($A$7:$A$1006,A107,$C$7:$C$1006,"&gt;0")-H107)</f>
        <v/>
      </c>
      <c r="L107" s="69">
        <f>IF(H107="","",A107&amp;"|"&amp;H107)</f>
        <v/>
      </c>
      <c r="M107" s="69">
        <f>IF(A107="","",IFERROR(INDEX(Bestand!$AC$14:$AC$213,MATCH(A107,Bestand!$A$14:$A$213,0)),0))</f>
        <v/>
      </c>
      <c r="N107" s="69">
        <f>IF(OR(H107="",M107&lt;&gt;1),"",C107+ROW()/100000)</f>
        <v/>
      </c>
    </row>
    <row r="108" ht="20" customHeight="1">
      <c r="A108" s="60" t="n"/>
      <c r="B108" s="65">
        <f>IF(A108="","",IFERROR(INDEX(Bestand!$B$14:$B$213,MATCH(A108,Bestand!$A$14:$A$213,0)),"ID unbekannt"))</f>
        <v/>
      </c>
      <c r="C108" s="63" t="n"/>
      <c r="D108" s="62" t="n"/>
      <c r="E108" s="60" t="n"/>
      <c r="F108" s="60" t="n"/>
      <c r="G108" s="61" t="n"/>
      <c r="H108" s="69">
        <f>IF(OR(A108="",C108=""),"",COUNTIFS($A$7:$A$1006,A108,$C$7:$C$1006,"&lt;"&amp;C108)+1)</f>
        <v/>
      </c>
      <c r="I108" s="67">
        <f>IF(H108="","",IF(H108=1,"",C108-_xlfn.MAXIFS($C$7:$C$1006,$A$7:$A$1006,A108,$C$7:$C$1006,"&lt;"&amp;C108)))</f>
        <v/>
      </c>
      <c r="J108" s="68">
        <f>IF(I108="","",I108/TpM)</f>
        <v/>
      </c>
      <c r="K108" s="69">
        <f>IF(H108="","",COUNTIFS($A$7:$A$1006,A108,$C$7:$C$1006,"&gt;0")-H108)</f>
        <v/>
      </c>
      <c r="L108" s="69">
        <f>IF(H108="","",A108&amp;"|"&amp;H108)</f>
        <v/>
      </c>
      <c r="M108" s="69">
        <f>IF(A108="","",IFERROR(INDEX(Bestand!$AC$14:$AC$213,MATCH(A108,Bestand!$A$14:$A$213,0)),0))</f>
        <v/>
      </c>
      <c r="N108" s="69">
        <f>IF(OR(H108="",M108&lt;&gt;1),"",C108+ROW()/100000)</f>
        <v/>
      </c>
    </row>
    <row r="109" ht="20" customHeight="1">
      <c r="A109" s="60" t="n"/>
      <c r="B109" s="65">
        <f>IF(A109="","",IFERROR(INDEX(Bestand!$B$14:$B$213,MATCH(A109,Bestand!$A$14:$A$213,0)),"ID unbekannt"))</f>
        <v/>
      </c>
      <c r="C109" s="63" t="n"/>
      <c r="D109" s="62" t="n"/>
      <c r="E109" s="60" t="n"/>
      <c r="F109" s="60" t="n"/>
      <c r="G109" s="61" t="n"/>
      <c r="H109" s="69">
        <f>IF(OR(A109="",C109=""),"",COUNTIFS($A$7:$A$1006,A109,$C$7:$C$1006,"&lt;"&amp;C109)+1)</f>
        <v/>
      </c>
      <c r="I109" s="67">
        <f>IF(H109="","",IF(H109=1,"",C109-_xlfn.MAXIFS($C$7:$C$1006,$A$7:$A$1006,A109,$C$7:$C$1006,"&lt;"&amp;C109)))</f>
        <v/>
      </c>
      <c r="J109" s="68">
        <f>IF(I109="","",I109/TpM)</f>
        <v/>
      </c>
      <c r="K109" s="69">
        <f>IF(H109="","",COUNTIFS($A$7:$A$1006,A109,$C$7:$C$1006,"&gt;0")-H109)</f>
        <v/>
      </c>
      <c r="L109" s="69">
        <f>IF(H109="","",A109&amp;"|"&amp;H109)</f>
        <v/>
      </c>
      <c r="M109" s="69">
        <f>IF(A109="","",IFERROR(INDEX(Bestand!$AC$14:$AC$213,MATCH(A109,Bestand!$A$14:$A$213,0)),0))</f>
        <v/>
      </c>
      <c r="N109" s="69">
        <f>IF(OR(H109="",M109&lt;&gt;1),"",C109+ROW()/100000)</f>
        <v/>
      </c>
    </row>
    <row r="110" ht="20" customHeight="1">
      <c r="A110" s="60" t="n"/>
      <c r="B110" s="65">
        <f>IF(A110="","",IFERROR(INDEX(Bestand!$B$14:$B$213,MATCH(A110,Bestand!$A$14:$A$213,0)),"ID unbekannt"))</f>
        <v/>
      </c>
      <c r="C110" s="63" t="n"/>
      <c r="D110" s="62" t="n"/>
      <c r="E110" s="60" t="n"/>
      <c r="F110" s="60" t="n"/>
      <c r="G110" s="61" t="n"/>
      <c r="H110" s="69">
        <f>IF(OR(A110="",C110=""),"",COUNTIFS($A$7:$A$1006,A110,$C$7:$C$1006,"&lt;"&amp;C110)+1)</f>
        <v/>
      </c>
      <c r="I110" s="67">
        <f>IF(H110="","",IF(H110=1,"",C110-_xlfn.MAXIFS($C$7:$C$1006,$A$7:$A$1006,A110,$C$7:$C$1006,"&lt;"&amp;C110)))</f>
        <v/>
      </c>
      <c r="J110" s="68">
        <f>IF(I110="","",I110/TpM)</f>
        <v/>
      </c>
      <c r="K110" s="69">
        <f>IF(H110="","",COUNTIFS($A$7:$A$1006,A110,$C$7:$C$1006,"&gt;0")-H110)</f>
        <v/>
      </c>
      <c r="L110" s="69">
        <f>IF(H110="","",A110&amp;"|"&amp;H110)</f>
        <v/>
      </c>
      <c r="M110" s="69">
        <f>IF(A110="","",IFERROR(INDEX(Bestand!$AC$14:$AC$213,MATCH(A110,Bestand!$A$14:$A$213,0)),0))</f>
        <v/>
      </c>
      <c r="N110" s="69">
        <f>IF(OR(H110="",M110&lt;&gt;1),"",C110+ROW()/100000)</f>
        <v/>
      </c>
    </row>
    <row r="111" ht="20" customHeight="1">
      <c r="A111" s="60" t="n"/>
      <c r="B111" s="65">
        <f>IF(A111="","",IFERROR(INDEX(Bestand!$B$14:$B$213,MATCH(A111,Bestand!$A$14:$A$213,0)),"ID unbekannt"))</f>
        <v/>
      </c>
      <c r="C111" s="63" t="n"/>
      <c r="D111" s="62" t="n"/>
      <c r="E111" s="60" t="n"/>
      <c r="F111" s="60" t="n"/>
      <c r="G111" s="61" t="n"/>
      <c r="H111" s="69">
        <f>IF(OR(A111="",C111=""),"",COUNTIFS($A$7:$A$1006,A111,$C$7:$C$1006,"&lt;"&amp;C111)+1)</f>
        <v/>
      </c>
      <c r="I111" s="67">
        <f>IF(H111="","",IF(H111=1,"",C111-_xlfn.MAXIFS($C$7:$C$1006,$A$7:$A$1006,A111,$C$7:$C$1006,"&lt;"&amp;C111)))</f>
        <v/>
      </c>
      <c r="J111" s="68">
        <f>IF(I111="","",I111/TpM)</f>
        <v/>
      </c>
      <c r="K111" s="69">
        <f>IF(H111="","",COUNTIFS($A$7:$A$1006,A111,$C$7:$C$1006,"&gt;0")-H111)</f>
        <v/>
      </c>
      <c r="L111" s="69">
        <f>IF(H111="","",A111&amp;"|"&amp;H111)</f>
        <v/>
      </c>
      <c r="M111" s="69">
        <f>IF(A111="","",IFERROR(INDEX(Bestand!$AC$14:$AC$213,MATCH(A111,Bestand!$A$14:$A$213,0)),0))</f>
        <v/>
      </c>
      <c r="N111" s="69">
        <f>IF(OR(H111="",M111&lt;&gt;1),"",C111+ROW()/100000)</f>
        <v/>
      </c>
    </row>
    <row r="112" ht="20" customHeight="1">
      <c r="A112" s="60" t="n"/>
      <c r="B112" s="65">
        <f>IF(A112="","",IFERROR(INDEX(Bestand!$B$14:$B$213,MATCH(A112,Bestand!$A$14:$A$213,0)),"ID unbekannt"))</f>
        <v/>
      </c>
      <c r="C112" s="63" t="n"/>
      <c r="D112" s="62" t="n"/>
      <c r="E112" s="60" t="n"/>
      <c r="F112" s="60" t="n"/>
      <c r="G112" s="61" t="n"/>
      <c r="H112" s="69">
        <f>IF(OR(A112="",C112=""),"",COUNTIFS($A$7:$A$1006,A112,$C$7:$C$1006,"&lt;"&amp;C112)+1)</f>
        <v/>
      </c>
      <c r="I112" s="67">
        <f>IF(H112="","",IF(H112=1,"",C112-_xlfn.MAXIFS($C$7:$C$1006,$A$7:$A$1006,A112,$C$7:$C$1006,"&lt;"&amp;C112)))</f>
        <v/>
      </c>
      <c r="J112" s="68">
        <f>IF(I112="","",I112/TpM)</f>
        <v/>
      </c>
      <c r="K112" s="69">
        <f>IF(H112="","",COUNTIFS($A$7:$A$1006,A112,$C$7:$C$1006,"&gt;0")-H112)</f>
        <v/>
      </c>
      <c r="L112" s="69">
        <f>IF(H112="","",A112&amp;"|"&amp;H112)</f>
        <v/>
      </c>
      <c r="M112" s="69">
        <f>IF(A112="","",IFERROR(INDEX(Bestand!$AC$14:$AC$213,MATCH(A112,Bestand!$A$14:$A$213,0)),0))</f>
        <v/>
      </c>
      <c r="N112" s="69">
        <f>IF(OR(H112="",M112&lt;&gt;1),"",C112+ROW()/100000)</f>
        <v/>
      </c>
    </row>
    <row r="113" ht="20" customHeight="1">
      <c r="A113" s="60" t="n"/>
      <c r="B113" s="65">
        <f>IF(A113="","",IFERROR(INDEX(Bestand!$B$14:$B$213,MATCH(A113,Bestand!$A$14:$A$213,0)),"ID unbekannt"))</f>
        <v/>
      </c>
      <c r="C113" s="63" t="n"/>
      <c r="D113" s="62" t="n"/>
      <c r="E113" s="60" t="n"/>
      <c r="F113" s="60" t="n"/>
      <c r="G113" s="61" t="n"/>
      <c r="H113" s="69">
        <f>IF(OR(A113="",C113=""),"",COUNTIFS($A$7:$A$1006,A113,$C$7:$C$1006,"&lt;"&amp;C113)+1)</f>
        <v/>
      </c>
      <c r="I113" s="67">
        <f>IF(H113="","",IF(H113=1,"",C113-_xlfn.MAXIFS($C$7:$C$1006,$A$7:$A$1006,A113,$C$7:$C$1006,"&lt;"&amp;C113)))</f>
        <v/>
      </c>
      <c r="J113" s="68">
        <f>IF(I113="","",I113/TpM)</f>
        <v/>
      </c>
      <c r="K113" s="69">
        <f>IF(H113="","",COUNTIFS($A$7:$A$1006,A113,$C$7:$C$1006,"&gt;0")-H113)</f>
        <v/>
      </c>
      <c r="L113" s="69">
        <f>IF(H113="","",A113&amp;"|"&amp;H113)</f>
        <v/>
      </c>
      <c r="M113" s="69">
        <f>IF(A113="","",IFERROR(INDEX(Bestand!$AC$14:$AC$213,MATCH(A113,Bestand!$A$14:$A$213,0)),0))</f>
        <v/>
      </c>
      <c r="N113" s="69">
        <f>IF(OR(H113="",M113&lt;&gt;1),"",C113+ROW()/100000)</f>
        <v/>
      </c>
    </row>
    <row r="114" ht="20" customHeight="1">
      <c r="A114" s="60" t="n"/>
      <c r="B114" s="65">
        <f>IF(A114="","",IFERROR(INDEX(Bestand!$B$14:$B$213,MATCH(A114,Bestand!$A$14:$A$213,0)),"ID unbekannt"))</f>
        <v/>
      </c>
      <c r="C114" s="63" t="n"/>
      <c r="D114" s="62" t="n"/>
      <c r="E114" s="60" t="n"/>
      <c r="F114" s="60" t="n"/>
      <c r="G114" s="61" t="n"/>
      <c r="H114" s="69">
        <f>IF(OR(A114="",C114=""),"",COUNTIFS($A$7:$A$1006,A114,$C$7:$C$1006,"&lt;"&amp;C114)+1)</f>
        <v/>
      </c>
      <c r="I114" s="67">
        <f>IF(H114="","",IF(H114=1,"",C114-_xlfn.MAXIFS($C$7:$C$1006,$A$7:$A$1006,A114,$C$7:$C$1006,"&lt;"&amp;C114)))</f>
        <v/>
      </c>
      <c r="J114" s="68">
        <f>IF(I114="","",I114/TpM)</f>
        <v/>
      </c>
      <c r="K114" s="69">
        <f>IF(H114="","",COUNTIFS($A$7:$A$1006,A114,$C$7:$C$1006,"&gt;0")-H114)</f>
        <v/>
      </c>
      <c r="L114" s="69">
        <f>IF(H114="","",A114&amp;"|"&amp;H114)</f>
        <v/>
      </c>
      <c r="M114" s="69">
        <f>IF(A114="","",IFERROR(INDEX(Bestand!$AC$14:$AC$213,MATCH(A114,Bestand!$A$14:$A$213,0)),0))</f>
        <v/>
      </c>
      <c r="N114" s="69">
        <f>IF(OR(H114="",M114&lt;&gt;1),"",C114+ROW()/100000)</f>
        <v/>
      </c>
    </row>
    <row r="115" ht="20" customHeight="1">
      <c r="A115" s="60" t="n"/>
      <c r="B115" s="65">
        <f>IF(A115="","",IFERROR(INDEX(Bestand!$B$14:$B$213,MATCH(A115,Bestand!$A$14:$A$213,0)),"ID unbekannt"))</f>
        <v/>
      </c>
      <c r="C115" s="63" t="n"/>
      <c r="D115" s="62" t="n"/>
      <c r="E115" s="60" t="n"/>
      <c r="F115" s="60" t="n"/>
      <c r="G115" s="61" t="n"/>
      <c r="H115" s="69">
        <f>IF(OR(A115="",C115=""),"",COUNTIFS($A$7:$A$1006,A115,$C$7:$C$1006,"&lt;"&amp;C115)+1)</f>
        <v/>
      </c>
      <c r="I115" s="67">
        <f>IF(H115="","",IF(H115=1,"",C115-_xlfn.MAXIFS($C$7:$C$1006,$A$7:$A$1006,A115,$C$7:$C$1006,"&lt;"&amp;C115)))</f>
        <v/>
      </c>
      <c r="J115" s="68">
        <f>IF(I115="","",I115/TpM)</f>
        <v/>
      </c>
      <c r="K115" s="69">
        <f>IF(H115="","",COUNTIFS($A$7:$A$1006,A115,$C$7:$C$1006,"&gt;0")-H115)</f>
        <v/>
      </c>
      <c r="L115" s="69">
        <f>IF(H115="","",A115&amp;"|"&amp;H115)</f>
        <v/>
      </c>
      <c r="M115" s="69">
        <f>IF(A115="","",IFERROR(INDEX(Bestand!$AC$14:$AC$213,MATCH(A115,Bestand!$A$14:$A$213,0)),0))</f>
        <v/>
      </c>
      <c r="N115" s="69">
        <f>IF(OR(H115="",M115&lt;&gt;1),"",C115+ROW()/100000)</f>
        <v/>
      </c>
    </row>
    <row r="116" ht="20" customHeight="1">
      <c r="A116" s="60" t="n"/>
      <c r="B116" s="65">
        <f>IF(A116="","",IFERROR(INDEX(Bestand!$B$14:$B$213,MATCH(A116,Bestand!$A$14:$A$213,0)),"ID unbekannt"))</f>
        <v/>
      </c>
      <c r="C116" s="63" t="n"/>
      <c r="D116" s="62" t="n"/>
      <c r="E116" s="60" t="n"/>
      <c r="F116" s="60" t="n"/>
      <c r="G116" s="61" t="n"/>
      <c r="H116" s="69">
        <f>IF(OR(A116="",C116=""),"",COUNTIFS($A$7:$A$1006,A116,$C$7:$C$1006,"&lt;"&amp;C116)+1)</f>
        <v/>
      </c>
      <c r="I116" s="67">
        <f>IF(H116="","",IF(H116=1,"",C116-_xlfn.MAXIFS($C$7:$C$1006,$A$7:$A$1006,A116,$C$7:$C$1006,"&lt;"&amp;C116)))</f>
        <v/>
      </c>
      <c r="J116" s="68">
        <f>IF(I116="","",I116/TpM)</f>
        <v/>
      </c>
      <c r="K116" s="69">
        <f>IF(H116="","",COUNTIFS($A$7:$A$1006,A116,$C$7:$C$1006,"&gt;0")-H116)</f>
        <v/>
      </c>
      <c r="L116" s="69">
        <f>IF(H116="","",A116&amp;"|"&amp;H116)</f>
        <v/>
      </c>
      <c r="M116" s="69">
        <f>IF(A116="","",IFERROR(INDEX(Bestand!$AC$14:$AC$213,MATCH(A116,Bestand!$A$14:$A$213,0)),0))</f>
        <v/>
      </c>
      <c r="N116" s="69">
        <f>IF(OR(H116="",M116&lt;&gt;1),"",C116+ROW()/100000)</f>
        <v/>
      </c>
    </row>
    <row r="117" ht="20" customHeight="1">
      <c r="A117" s="60" t="n"/>
      <c r="B117" s="65">
        <f>IF(A117="","",IFERROR(INDEX(Bestand!$B$14:$B$213,MATCH(A117,Bestand!$A$14:$A$213,0)),"ID unbekannt"))</f>
        <v/>
      </c>
      <c r="C117" s="63" t="n"/>
      <c r="D117" s="62" t="n"/>
      <c r="E117" s="60" t="n"/>
      <c r="F117" s="60" t="n"/>
      <c r="G117" s="61" t="n"/>
      <c r="H117" s="69">
        <f>IF(OR(A117="",C117=""),"",COUNTIFS($A$7:$A$1006,A117,$C$7:$C$1006,"&lt;"&amp;C117)+1)</f>
        <v/>
      </c>
      <c r="I117" s="67">
        <f>IF(H117="","",IF(H117=1,"",C117-_xlfn.MAXIFS($C$7:$C$1006,$A$7:$A$1006,A117,$C$7:$C$1006,"&lt;"&amp;C117)))</f>
        <v/>
      </c>
      <c r="J117" s="68">
        <f>IF(I117="","",I117/TpM)</f>
        <v/>
      </c>
      <c r="K117" s="69">
        <f>IF(H117="","",COUNTIFS($A$7:$A$1006,A117,$C$7:$C$1006,"&gt;0")-H117)</f>
        <v/>
      </c>
      <c r="L117" s="69">
        <f>IF(H117="","",A117&amp;"|"&amp;H117)</f>
        <v/>
      </c>
      <c r="M117" s="69">
        <f>IF(A117="","",IFERROR(INDEX(Bestand!$AC$14:$AC$213,MATCH(A117,Bestand!$A$14:$A$213,0)),0))</f>
        <v/>
      </c>
      <c r="N117" s="69">
        <f>IF(OR(H117="",M117&lt;&gt;1),"",C117+ROW()/100000)</f>
        <v/>
      </c>
    </row>
    <row r="118" ht="20" customHeight="1">
      <c r="A118" s="60" t="n"/>
      <c r="B118" s="65">
        <f>IF(A118="","",IFERROR(INDEX(Bestand!$B$14:$B$213,MATCH(A118,Bestand!$A$14:$A$213,0)),"ID unbekannt"))</f>
        <v/>
      </c>
      <c r="C118" s="63" t="n"/>
      <c r="D118" s="62" t="n"/>
      <c r="E118" s="60" t="n"/>
      <c r="F118" s="60" t="n"/>
      <c r="G118" s="61" t="n"/>
      <c r="H118" s="69">
        <f>IF(OR(A118="",C118=""),"",COUNTIFS($A$7:$A$1006,A118,$C$7:$C$1006,"&lt;"&amp;C118)+1)</f>
        <v/>
      </c>
      <c r="I118" s="67">
        <f>IF(H118="","",IF(H118=1,"",C118-_xlfn.MAXIFS($C$7:$C$1006,$A$7:$A$1006,A118,$C$7:$C$1006,"&lt;"&amp;C118)))</f>
        <v/>
      </c>
      <c r="J118" s="68">
        <f>IF(I118="","",I118/TpM)</f>
        <v/>
      </c>
      <c r="K118" s="69">
        <f>IF(H118="","",COUNTIFS($A$7:$A$1006,A118,$C$7:$C$1006,"&gt;0")-H118)</f>
        <v/>
      </c>
      <c r="L118" s="69">
        <f>IF(H118="","",A118&amp;"|"&amp;H118)</f>
        <v/>
      </c>
      <c r="M118" s="69">
        <f>IF(A118="","",IFERROR(INDEX(Bestand!$AC$14:$AC$213,MATCH(A118,Bestand!$A$14:$A$213,0)),0))</f>
        <v/>
      </c>
      <c r="N118" s="69">
        <f>IF(OR(H118="",M118&lt;&gt;1),"",C118+ROW()/100000)</f>
        <v/>
      </c>
    </row>
    <row r="119" ht="20" customHeight="1">
      <c r="A119" s="60" t="n"/>
      <c r="B119" s="65">
        <f>IF(A119="","",IFERROR(INDEX(Bestand!$B$14:$B$213,MATCH(A119,Bestand!$A$14:$A$213,0)),"ID unbekannt"))</f>
        <v/>
      </c>
      <c r="C119" s="63" t="n"/>
      <c r="D119" s="62" t="n"/>
      <c r="E119" s="60" t="n"/>
      <c r="F119" s="60" t="n"/>
      <c r="G119" s="61" t="n"/>
      <c r="H119" s="69">
        <f>IF(OR(A119="",C119=""),"",COUNTIFS($A$7:$A$1006,A119,$C$7:$C$1006,"&lt;"&amp;C119)+1)</f>
        <v/>
      </c>
      <c r="I119" s="67">
        <f>IF(H119="","",IF(H119=1,"",C119-_xlfn.MAXIFS($C$7:$C$1006,$A$7:$A$1006,A119,$C$7:$C$1006,"&lt;"&amp;C119)))</f>
        <v/>
      </c>
      <c r="J119" s="68">
        <f>IF(I119="","",I119/TpM)</f>
        <v/>
      </c>
      <c r="K119" s="69">
        <f>IF(H119="","",COUNTIFS($A$7:$A$1006,A119,$C$7:$C$1006,"&gt;0")-H119)</f>
        <v/>
      </c>
      <c r="L119" s="69">
        <f>IF(H119="","",A119&amp;"|"&amp;H119)</f>
        <v/>
      </c>
      <c r="M119" s="69">
        <f>IF(A119="","",IFERROR(INDEX(Bestand!$AC$14:$AC$213,MATCH(A119,Bestand!$A$14:$A$213,0)),0))</f>
        <v/>
      </c>
      <c r="N119" s="69">
        <f>IF(OR(H119="",M119&lt;&gt;1),"",C119+ROW()/100000)</f>
        <v/>
      </c>
    </row>
    <row r="120" ht="20" customHeight="1">
      <c r="A120" s="60" t="n"/>
      <c r="B120" s="65">
        <f>IF(A120="","",IFERROR(INDEX(Bestand!$B$14:$B$213,MATCH(A120,Bestand!$A$14:$A$213,0)),"ID unbekannt"))</f>
        <v/>
      </c>
      <c r="C120" s="63" t="n"/>
      <c r="D120" s="62" t="n"/>
      <c r="E120" s="60" t="n"/>
      <c r="F120" s="60" t="n"/>
      <c r="G120" s="61" t="n"/>
      <c r="H120" s="69">
        <f>IF(OR(A120="",C120=""),"",COUNTIFS($A$7:$A$1006,A120,$C$7:$C$1006,"&lt;"&amp;C120)+1)</f>
        <v/>
      </c>
      <c r="I120" s="67">
        <f>IF(H120="","",IF(H120=1,"",C120-_xlfn.MAXIFS($C$7:$C$1006,$A$7:$A$1006,A120,$C$7:$C$1006,"&lt;"&amp;C120)))</f>
        <v/>
      </c>
      <c r="J120" s="68">
        <f>IF(I120="","",I120/TpM)</f>
        <v/>
      </c>
      <c r="K120" s="69">
        <f>IF(H120="","",COUNTIFS($A$7:$A$1006,A120,$C$7:$C$1006,"&gt;0")-H120)</f>
        <v/>
      </c>
      <c r="L120" s="69">
        <f>IF(H120="","",A120&amp;"|"&amp;H120)</f>
        <v/>
      </c>
      <c r="M120" s="69">
        <f>IF(A120="","",IFERROR(INDEX(Bestand!$AC$14:$AC$213,MATCH(A120,Bestand!$A$14:$A$213,0)),0))</f>
        <v/>
      </c>
      <c r="N120" s="69">
        <f>IF(OR(H120="",M120&lt;&gt;1),"",C120+ROW()/100000)</f>
        <v/>
      </c>
    </row>
    <row r="121" ht="20" customHeight="1">
      <c r="A121" s="60" t="n"/>
      <c r="B121" s="65">
        <f>IF(A121="","",IFERROR(INDEX(Bestand!$B$14:$B$213,MATCH(A121,Bestand!$A$14:$A$213,0)),"ID unbekannt"))</f>
        <v/>
      </c>
      <c r="C121" s="63" t="n"/>
      <c r="D121" s="62" t="n"/>
      <c r="E121" s="60" t="n"/>
      <c r="F121" s="60" t="n"/>
      <c r="G121" s="61" t="n"/>
      <c r="H121" s="69">
        <f>IF(OR(A121="",C121=""),"",COUNTIFS($A$7:$A$1006,A121,$C$7:$C$1006,"&lt;"&amp;C121)+1)</f>
        <v/>
      </c>
      <c r="I121" s="67">
        <f>IF(H121="","",IF(H121=1,"",C121-_xlfn.MAXIFS($C$7:$C$1006,$A$7:$A$1006,A121,$C$7:$C$1006,"&lt;"&amp;C121)))</f>
        <v/>
      </c>
      <c r="J121" s="68">
        <f>IF(I121="","",I121/TpM)</f>
        <v/>
      </c>
      <c r="K121" s="69">
        <f>IF(H121="","",COUNTIFS($A$7:$A$1006,A121,$C$7:$C$1006,"&gt;0")-H121)</f>
        <v/>
      </c>
      <c r="L121" s="69">
        <f>IF(H121="","",A121&amp;"|"&amp;H121)</f>
        <v/>
      </c>
      <c r="M121" s="69">
        <f>IF(A121="","",IFERROR(INDEX(Bestand!$AC$14:$AC$213,MATCH(A121,Bestand!$A$14:$A$213,0)),0))</f>
        <v/>
      </c>
      <c r="N121" s="69">
        <f>IF(OR(H121="",M121&lt;&gt;1),"",C121+ROW()/100000)</f>
        <v/>
      </c>
    </row>
    <row r="122" ht="20" customHeight="1">
      <c r="A122" s="60" t="n"/>
      <c r="B122" s="65">
        <f>IF(A122="","",IFERROR(INDEX(Bestand!$B$14:$B$213,MATCH(A122,Bestand!$A$14:$A$213,0)),"ID unbekannt"))</f>
        <v/>
      </c>
      <c r="C122" s="63" t="n"/>
      <c r="D122" s="62" t="n"/>
      <c r="E122" s="60" t="n"/>
      <c r="F122" s="60" t="n"/>
      <c r="G122" s="61" t="n"/>
      <c r="H122" s="69">
        <f>IF(OR(A122="",C122=""),"",COUNTIFS($A$7:$A$1006,A122,$C$7:$C$1006,"&lt;"&amp;C122)+1)</f>
        <v/>
      </c>
      <c r="I122" s="67">
        <f>IF(H122="","",IF(H122=1,"",C122-_xlfn.MAXIFS($C$7:$C$1006,$A$7:$A$1006,A122,$C$7:$C$1006,"&lt;"&amp;C122)))</f>
        <v/>
      </c>
      <c r="J122" s="68">
        <f>IF(I122="","",I122/TpM)</f>
        <v/>
      </c>
      <c r="K122" s="69">
        <f>IF(H122="","",COUNTIFS($A$7:$A$1006,A122,$C$7:$C$1006,"&gt;0")-H122)</f>
        <v/>
      </c>
      <c r="L122" s="69">
        <f>IF(H122="","",A122&amp;"|"&amp;H122)</f>
        <v/>
      </c>
      <c r="M122" s="69">
        <f>IF(A122="","",IFERROR(INDEX(Bestand!$AC$14:$AC$213,MATCH(A122,Bestand!$A$14:$A$213,0)),0))</f>
        <v/>
      </c>
      <c r="N122" s="69">
        <f>IF(OR(H122="",M122&lt;&gt;1),"",C122+ROW()/100000)</f>
        <v/>
      </c>
    </row>
    <row r="123" ht="20" customHeight="1">
      <c r="A123" s="60" t="n"/>
      <c r="B123" s="65">
        <f>IF(A123="","",IFERROR(INDEX(Bestand!$B$14:$B$213,MATCH(A123,Bestand!$A$14:$A$213,0)),"ID unbekannt"))</f>
        <v/>
      </c>
      <c r="C123" s="63" t="n"/>
      <c r="D123" s="62" t="n"/>
      <c r="E123" s="60" t="n"/>
      <c r="F123" s="60" t="n"/>
      <c r="G123" s="61" t="n"/>
      <c r="H123" s="69">
        <f>IF(OR(A123="",C123=""),"",COUNTIFS($A$7:$A$1006,A123,$C$7:$C$1006,"&lt;"&amp;C123)+1)</f>
        <v/>
      </c>
      <c r="I123" s="67">
        <f>IF(H123="","",IF(H123=1,"",C123-_xlfn.MAXIFS($C$7:$C$1006,$A$7:$A$1006,A123,$C$7:$C$1006,"&lt;"&amp;C123)))</f>
        <v/>
      </c>
      <c r="J123" s="68">
        <f>IF(I123="","",I123/TpM)</f>
        <v/>
      </c>
      <c r="K123" s="69">
        <f>IF(H123="","",COUNTIFS($A$7:$A$1006,A123,$C$7:$C$1006,"&gt;0")-H123)</f>
        <v/>
      </c>
      <c r="L123" s="69">
        <f>IF(H123="","",A123&amp;"|"&amp;H123)</f>
        <v/>
      </c>
      <c r="M123" s="69">
        <f>IF(A123="","",IFERROR(INDEX(Bestand!$AC$14:$AC$213,MATCH(A123,Bestand!$A$14:$A$213,0)),0))</f>
        <v/>
      </c>
      <c r="N123" s="69">
        <f>IF(OR(H123="",M123&lt;&gt;1),"",C123+ROW()/100000)</f>
        <v/>
      </c>
    </row>
    <row r="124" ht="20" customHeight="1">
      <c r="A124" s="60" t="n"/>
      <c r="B124" s="65">
        <f>IF(A124="","",IFERROR(INDEX(Bestand!$B$14:$B$213,MATCH(A124,Bestand!$A$14:$A$213,0)),"ID unbekannt"))</f>
        <v/>
      </c>
      <c r="C124" s="63" t="n"/>
      <c r="D124" s="62" t="n"/>
      <c r="E124" s="60" t="n"/>
      <c r="F124" s="60" t="n"/>
      <c r="G124" s="61" t="n"/>
      <c r="H124" s="69">
        <f>IF(OR(A124="",C124=""),"",COUNTIFS($A$7:$A$1006,A124,$C$7:$C$1006,"&lt;"&amp;C124)+1)</f>
        <v/>
      </c>
      <c r="I124" s="67">
        <f>IF(H124="","",IF(H124=1,"",C124-_xlfn.MAXIFS($C$7:$C$1006,$A$7:$A$1006,A124,$C$7:$C$1006,"&lt;"&amp;C124)))</f>
        <v/>
      </c>
      <c r="J124" s="68">
        <f>IF(I124="","",I124/TpM)</f>
        <v/>
      </c>
      <c r="K124" s="69">
        <f>IF(H124="","",COUNTIFS($A$7:$A$1006,A124,$C$7:$C$1006,"&gt;0")-H124)</f>
        <v/>
      </c>
      <c r="L124" s="69">
        <f>IF(H124="","",A124&amp;"|"&amp;H124)</f>
        <v/>
      </c>
      <c r="M124" s="69">
        <f>IF(A124="","",IFERROR(INDEX(Bestand!$AC$14:$AC$213,MATCH(A124,Bestand!$A$14:$A$213,0)),0))</f>
        <v/>
      </c>
      <c r="N124" s="69">
        <f>IF(OR(H124="",M124&lt;&gt;1),"",C124+ROW()/100000)</f>
        <v/>
      </c>
    </row>
    <row r="125" ht="20" customHeight="1">
      <c r="A125" s="60" t="n"/>
      <c r="B125" s="65">
        <f>IF(A125="","",IFERROR(INDEX(Bestand!$B$14:$B$213,MATCH(A125,Bestand!$A$14:$A$213,0)),"ID unbekannt"))</f>
        <v/>
      </c>
      <c r="C125" s="63" t="n"/>
      <c r="D125" s="62" t="n"/>
      <c r="E125" s="60" t="n"/>
      <c r="F125" s="60" t="n"/>
      <c r="G125" s="61" t="n"/>
      <c r="H125" s="69">
        <f>IF(OR(A125="",C125=""),"",COUNTIFS($A$7:$A$1006,A125,$C$7:$C$1006,"&lt;"&amp;C125)+1)</f>
        <v/>
      </c>
      <c r="I125" s="67">
        <f>IF(H125="","",IF(H125=1,"",C125-_xlfn.MAXIFS($C$7:$C$1006,$A$7:$A$1006,A125,$C$7:$C$1006,"&lt;"&amp;C125)))</f>
        <v/>
      </c>
      <c r="J125" s="68">
        <f>IF(I125="","",I125/TpM)</f>
        <v/>
      </c>
      <c r="K125" s="69">
        <f>IF(H125="","",COUNTIFS($A$7:$A$1006,A125,$C$7:$C$1006,"&gt;0")-H125)</f>
        <v/>
      </c>
      <c r="L125" s="69">
        <f>IF(H125="","",A125&amp;"|"&amp;H125)</f>
        <v/>
      </c>
      <c r="M125" s="69">
        <f>IF(A125="","",IFERROR(INDEX(Bestand!$AC$14:$AC$213,MATCH(A125,Bestand!$A$14:$A$213,0)),0))</f>
        <v/>
      </c>
      <c r="N125" s="69">
        <f>IF(OR(H125="",M125&lt;&gt;1),"",C125+ROW()/100000)</f>
        <v/>
      </c>
    </row>
    <row r="126" ht="20" customHeight="1">
      <c r="A126" s="60" t="n"/>
      <c r="B126" s="65">
        <f>IF(A126="","",IFERROR(INDEX(Bestand!$B$14:$B$213,MATCH(A126,Bestand!$A$14:$A$213,0)),"ID unbekannt"))</f>
        <v/>
      </c>
      <c r="C126" s="63" t="n"/>
      <c r="D126" s="62" t="n"/>
      <c r="E126" s="60" t="n"/>
      <c r="F126" s="60" t="n"/>
      <c r="G126" s="61" t="n"/>
      <c r="H126" s="69">
        <f>IF(OR(A126="",C126=""),"",COUNTIFS($A$7:$A$1006,A126,$C$7:$C$1006,"&lt;"&amp;C126)+1)</f>
        <v/>
      </c>
      <c r="I126" s="67">
        <f>IF(H126="","",IF(H126=1,"",C126-_xlfn.MAXIFS($C$7:$C$1006,$A$7:$A$1006,A126,$C$7:$C$1006,"&lt;"&amp;C126)))</f>
        <v/>
      </c>
      <c r="J126" s="68">
        <f>IF(I126="","",I126/TpM)</f>
        <v/>
      </c>
      <c r="K126" s="69">
        <f>IF(H126="","",COUNTIFS($A$7:$A$1006,A126,$C$7:$C$1006,"&gt;0")-H126)</f>
        <v/>
      </c>
      <c r="L126" s="69">
        <f>IF(H126="","",A126&amp;"|"&amp;H126)</f>
        <v/>
      </c>
      <c r="M126" s="69">
        <f>IF(A126="","",IFERROR(INDEX(Bestand!$AC$14:$AC$213,MATCH(A126,Bestand!$A$14:$A$213,0)),0))</f>
        <v/>
      </c>
      <c r="N126" s="69">
        <f>IF(OR(H126="",M126&lt;&gt;1),"",C126+ROW()/100000)</f>
        <v/>
      </c>
    </row>
    <row r="127" ht="20" customHeight="1">
      <c r="A127" s="60" t="n"/>
      <c r="B127" s="65">
        <f>IF(A127="","",IFERROR(INDEX(Bestand!$B$14:$B$213,MATCH(A127,Bestand!$A$14:$A$213,0)),"ID unbekannt"))</f>
        <v/>
      </c>
      <c r="C127" s="63" t="n"/>
      <c r="D127" s="62" t="n"/>
      <c r="E127" s="60" t="n"/>
      <c r="F127" s="60" t="n"/>
      <c r="G127" s="61" t="n"/>
      <c r="H127" s="69">
        <f>IF(OR(A127="",C127=""),"",COUNTIFS($A$7:$A$1006,A127,$C$7:$C$1006,"&lt;"&amp;C127)+1)</f>
        <v/>
      </c>
      <c r="I127" s="67">
        <f>IF(H127="","",IF(H127=1,"",C127-_xlfn.MAXIFS($C$7:$C$1006,$A$7:$A$1006,A127,$C$7:$C$1006,"&lt;"&amp;C127)))</f>
        <v/>
      </c>
      <c r="J127" s="68">
        <f>IF(I127="","",I127/TpM)</f>
        <v/>
      </c>
      <c r="K127" s="69">
        <f>IF(H127="","",COUNTIFS($A$7:$A$1006,A127,$C$7:$C$1006,"&gt;0")-H127)</f>
        <v/>
      </c>
      <c r="L127" s="69">
        <f>IF(H127="","",A127&amp;"|"&amp;H127)</f>
        <v/>
      </c>
      <c r="M127" s="69">
        <f>IF(A127="","",IFERROR(INDEX(Bestand!$AC$14:$AC$213,MATCH(A127,Bestand!$A$14:$A$213,0)),0))</f>
        <v/>
      </c>
      <c r="N127" s="69">
        <f>IF(OR(H127="",M127&lt;&gt;1),"",C127+ROW()/100000)</f>
        <v/>
      </c>
    </row>
    <row r="128" ht="20" customHeight="1">
      <c r="A128" s="60" t="n"/>
      <c r="B128" s="65">
        <f>IF(A128="","",IFERROR(INDEX(Bestand!$B$14:$B$213,MATCH(A128,Bestand!$A$14:$A$213,0)),"ID unbekannt"))</f>
        <v/>
      </c>
      <c r="C128" s="63" t="n"/>
      <c r="D128" s="62" t="n"/>
      <c r="E128" s="60" t="n"/>
      <c r="F128" s="60" t="n"/>
      <c r="G128" s="61" t="n"/>
      <c r="H128" s="69">
        <f>IF(OR(A128="",C128=""),"",COUNTIFS($A$7:$A$1006,A128,$C$7:$C$1006,"&lt;"&amp;C128)+1)</f>
        <v/>
      </c>
      <c r="I128" s="67">
        <f>IF(H128="","",IF(H128=1,"",C128-_xlfn.MAXIFS($C$7:$C$1006,$A$7:$A$1006,A128,$C$7:$C$1006,"&lt;"&amp;C128)))</f>
        <v/>
      </c>
      <c r="J128" s="68">
        <f>IF(I128="","",I128/TpM)</f>
        <v/>
      </c>
      <c r="K128" s="69">
        <f>IF(H128="","",COUNTIFS($A$7:$A$1006,A128,$C$7:$C$1006,"&gt;0")-H128)</f>
        <v/>
      </c>
      <c r="L128" s="69">
        <f>IF(H128="","",A128&amp;"|"&amp;H128)</f>
        <v/>
      </c>
      <c r="M128" s="69">
        <f>IF(A128="","",IFERROR(INDEX(Bestand!$AC$14:$AC$213,MATCH(A128,Bestand!$A$14:$A$213,0)),0))</f>
        <v/>
      </c>
      <c r="N128" s="69">
        <f>IF(OR(H128="",M128&lt;&gt;1),"",C128+ROW()/100000)</f>
        <v/>
      </c>
    </row>
    <row r="129" ht="20" customHeight="1">
      <c r="A129" s="60" t="n"/>
      <c r="B129" s="65">
        <f>IF(A129="","",IFERROR(INDEX(Bestand!$B$14:$B$213,MATCH(A129,Bestand!$A$14:$A$213,0)),"ID unbekannt"))</f>
        <v/>
      </c>
      <c r="C129" s="63" t="n"/>
      <c r="D129" s="62" t="n"/>
      <c r="E129" s="60" t="n"/>
      <c r="F129" s="60" t="n"/>
      <c r="G129" s="61" t="n"/>
      <c r="H129" s="69">
        <f>IF(OR(A129="",C129=""),"",COUNTIFS($A$7:$A$1006,A129,$C$7:$C$1006,"&lt;"&amp;C129)+1)</f>
        <v/>
      </c>
      <c r="I129" s="67">
        <f>IF(H129="","",IF(H129=1,"",C129-_xlfn.MAXIFS($C$7:$C$1006,$A$7:$A$1006,A129,$C$7:$C$1006,"&lt;"&amp;C129)))</f>
        <v/>
      </c>
      <c r="J129" s="68">
        <f>IF(I129="","",I129/TpM)</f>
        <v/>
      </c>
      <c r="K129" s="69">
        <f>IF(H129="","",COUNTIFS($A$7:$A$1006,A129,$C$7:$C$1006,"&gt;0")-H129)</f>
        <v/>
      </c>
      <c r="L129" s="69">
        <f>IF(H129="","",A129&amp;"|"&amp;H129)</f>
        <v/>
      </c>
      <c r="M129" s="69">
        <f>IF(A129="","",IFERROR(INDEX(Bestand!$AC$14:$AC$213,MATCH(A129,Bestand!$A$14:$A$213,0)),0))</f>
        <v/>
      </c>
      <c r="N129" s="69">
        <f>IF(OR(H129="",M129&lt;&gt;1),"",C129+ROW()/100000)</f>
        <v/>
      </c>
    </row>
    <row r="130" ht="20" customHeight="1">
      <c r="A130" s="60" t="n"/>
      <c r="B130" s="65">
        <f>IF(A130="","",IFERROR(INDEX(Bestand!$B$14:$B$213,MATCH(A130,Bestand!$A$14:$A$213,0)),"ID unbekannt"))</f>
        <v/>
      </c>
      <c r="C130" s="63" t="n"/>
      <c r="D130" s="62" t="n"/>
      <c r="E130" s="60" t="n"/>
      <c r="F130" s="60" t="n"/>
      <c r="G130" s="61" t="n"/>
      <c r="H130" s="69">
        <f>IF(OR(A130="",C130=""),"",COUNTIFS($A$7:$A$1006,A130,$C$7:$C$1006,"&lt;"&amp;C130)+1)</f>
        <v/>
      </c>
      <c r="I130" s="67">
        <f>IF(H130="","",IF(H130=1,"",C130-_xlfn.MAXIFS($C$7:$C$1006,$A$7:$A$1006,A130,$C$7:$C$1006,"&lt;"&amp;C130)))</f>
        <v/>
      </c>
      <c r="J130" s="68">
        <f>IF(I130="","",I130/TpM)</f>
        <v/>
      </c>
      <c r="K130" s="69">
        <f>IF(H130="","",COUNTIFS($A$7:$A$1006,A130,$C$7:$C$1006,"&gt;0")-H130)</f>
        <v/>
      </c>
      <c r="L130" s="69">
        <f>IF(H130="","",A130&amp;"|"&amp;H130)</f>
        <v/>
      </c>
      <c r="M130" s="69">
        <f>IF(A130="","",IFERROR(INDEX(Bestand!$AC$14:$AC$213,MATCH(A130,Bestand!$A$14:$A$213,0)),0))</f>
        <v/>
      </c>
      <c r="N130" s="69">
        <f>IF(OR(H130="",M130&lt;&gt;1),"",C130+ROW()/100000)</f>
        <v/>
      </c>
    </row>
    <row r="131" ht="20" customHeight="1">
      <c r="A131" s="60" t="n"/>
      <c r="B131" s="65">
        <f>IF(A131="","",IFERROR(INDEX(Bestand!$B$14:$B$213,MATCH(A131,Bestand!$A$14:$A$213,0)),"ID unbekannt"))</f>
        <v/>
      </c>
      <c r="C131" s="63" t="n"/>
      <c r="D131" s="62" t="n"/>
      <c r="E131" s="60" t="n"/>
      <c r="F131" s="60" t="n"/>
      <c r="G131" s="61" t="n"/>
      <c r="H131" s="69">
        <f>IF(OR(A131="",C131=""),"",COUNTIFS($A$7:$A$1006,A131,$C$7:$C$1006,"&lt;"&amp;C131)+1)</f>
        <v/>
      </c>
      <c r="I131" s="67">
        <f>IF(H131="","",IF(H131=1,"",C131-_xlfn.MAXIFS($C$7:$C$1006,$A$7:$A$1006,A131,$C$7:$C$1006,"&lt;"&amp;C131)))</f>
        <v/>
      </c>
      <c r="J131" s="68">
        <f>IF(I131="","",I131/TpM)</f>
        <v/>
      </c>
      <c r="K131" s="69">
        <f>IF(H131="","",COUNTIFS($A$7:$A$1006,A131,$C$7:$C$1006,"&gt;0")-H131)</f>
        <v/>
      </c>
      <c r="L131" s="69">
        <f>IF(H131="","",A131&amp;"|"&amp;H131)</f>
        <v/>
      </c>
      <c r="M131" s="69">
        <f>IF(A131="","",IFERROR(INDEX(Bestand!$AC$14:$AC$213,MATCH(A131,Bestand!$A$14:$A$213,0)),0))</f>
        <v/>
      </c>
      <c r="N131" s="69">
        <f>IF(OR(H131="",M131&lt;&gt;1),"",C131+ROW()/100000)</f>
        <v/>
      </c>
    </row>
    <row r="132" ht="20" customHeight="1">
      <c r="A132" s="60" t="n"/>
      <c r="B132" s="65">
        <f>IF(A132="","",IFERROR(INDEX(Bestand!$B$14:$B$213,MATCH(A132,Bestand!$A$14:$A$213,0)),"ID unbekannt"))</f>
        <v/>
      </c>
      <c r="C132" s="63" t="n"/>
      <c r="D132" s="62" t="n"/>
      <c r="E132" s="60" t="n"/>
      <c r="F132" s="60" t="n"/>
      <c r="G132" s="61" t="n"/>
      <c r="H132" s="69">
        <f>IF(OR(A132="",C132=""),"",COUNTIFS($A$7:$A$1006,A132,$C$7:$C$1006,"&lt;"&amp;C132)+1)</f>
        <v/>
      </c>
      <c r="I132" s="67">
        <f>IF(H132="","",IF(H132=1,"",C132-_xlfn.MAXIFS($C$7:$C$1006,$A$7:$A$1006,A132,$C$7:$C$1006,"&lt;"&amp;C132)))</f>
        <v/>
      </c>
      <c r="J132" s="68">
        <f>IF(I132="","",I132/TpM)</f>
        <v/>
      </c>
      <c r="K132" s="69">
        <f>IF(H132="","",COUNTIFS($A$7:$A$1006,A132,$C$7:$C$1006,"&gt;0")-H132)</f>
        <v/>
      </c>
      <c r="L132" s="69">
        <f>IF(H132="","",A132&amp;"|"&amp;H132)</f>
        <v/>
      </c>
      <c r="M132" s="69">
        <f>IF(A132="","",IFERROR(INDEX(Bestand!$AC$14:$AC$213,MATCH(A132,Bestand!$A$14:$A$213,0)),0))</f>
        <v/>
      </c>
      <c r="N132" s="69">
        <f>IF(OR(H132="",M132&lt;&gt;1),"",C132+ROW()/100000)</f>
        <v/>
      </c>
    </row>
    <row r="133" ht="20" customHeight="1">
      <c r="A133" s="60" t="n"/>
      <c r="B133" s="65">
        <f>IF(A133="","",IFERROR(INDEX(Bestand!$B$14:$B$213,MATCH(A133,Bestand!$A$14:$A$213,0)),"ID unbekannt"))</f>
        <v/>
      </c>
      <c r="C133" s="63" t="n"/>
      <c r="D133" s="62" t="n"/>
      <c r="E133" s="60" t="n"/>
      <c r="F133" s="60" t="n"/>
      <c r="G133" s="61" t="n"/>
      <c r="H133" s="69">
        <f>IF(OR(A133="",C133=""),"",COUNTIFS($A$7:$A$1006,A133,$C$7:$C$1006,"&lt;"&amp;C133)+1)</f>
        <v/>
      </c>
      <c r="I133" s="67">
        <f>IF(H133="","",IF(H133=1,"",C133-_xlfn.MAXIFS($C$7:$C$1006,$A$7:$A$1006,A133,$C$7:$C$1006,"&lt;"&amp;C133)))</f>
        <v/>
      </c>
      <c r="J133" s="68">
        <f>IF(I133="","",I133/TpM)</f>
        <v/>
      </c>
      <c r="K133" s="69">
        <f>IF(H133="","",COUNTIFS($A$7:$A$1006,A133,$C$7:$C$1006,"&gt;0")-H133)</f>
        <v/>
      </c>
      <c r="L133" s="69">
        <f>IF(H133="","",A133&amp;"|"&amp;H133)</f>
        <v/>
      </c>
      <c r="M133" s="69">
        <f>IF(A133="","",IFERROR(INDEX(Bestand!$AC$14:$AC$213,MATCH(A133,Bestand!$A$14:$A$213,0)),0))</f>
        <v/>
      </c>
      <c r="N133" s="69">
        <f>IF(OR(H133="",M133&lt;&gt;1),"",C133+ROW()/100000)</f>
        <v/>
      </c>
    </row>
    <row r="134" ht="20" customHeight="1">
      <c r="A134" s="60" t="n"/>
      <c r="B134" s="65">
        <f>IF(A134="","",IFERROR(INDEX(Bestand!$B$14:$B$213,MATCH(A134,Bestand!$A$14:$A$213,0)),"ID unbekannt"))</f>
        <v/>
      </c>
      <c r="C134" s="63" t="n"/>
      <c r="D134" s="62" t="n"/>
      <c r="E134" s="60" t="n"/>
      <c r="F134" s="60" t="n"/>
      <c r="G134" s="61" t="n"/>
      <c r="H134" s="69">
        <f>IF(OR(A134="",C134=""),"",COUNTIFS($A$7:$A$1006,A134,$C$7:$C$1006,"&lt;"&amp;C134)+1)</f>
        <v/>
      </c>
      <c r="I134" s="67">
        <f>IF(H134="","",IF(H134=1,"",C134-_xlfn.MAXIFS($C$7:$C$1006,$A$7:$A$1006,A134,$C$7:$C$1006,"&lt;"&amp;C134)))</f>
        <v/>
      </c>
      <c r="J134" s="68">
        <f>IF(I134="","",I134/TpM)</f>
        <v/>
      </c>
      <c r="K134" s="69">
        <f>IF(H134="","",COUNTIFS($A$7:$A$1006,A134,$C$7:$C$1006,"&gt;0")-H134)</f>
        <v/>
      </c>
      <c r="L134" s="69">
        <f>IF(H134="","",A134&amp;"|"&amp;H134)</f>
        <v/>
      </c>
      <c r="M134" s="69">
        <f>IF(A134="","",IFERROR(INDEX(Bestand!$AC$14:$AC$213,MATCH(A134,Bestand!$A$14:$A$213,0)),0))</f>
        <v/>
      </c>
      <c r="N134" s="69">
        <f>IF(OR(H134="",M134&lt;&gt;1),"",C134+ROW()/100000)</f>
        <v/>
      </c>
    </row>
    <row r="135" ht="20" customHeight="1">
      <c r="A135" s="60" t="n"/>
      <c r="B135" s="65">
        <f>IF(A135="","",IFERROR(INDEX(Bestand!$B$14:$B$213,MATCH(A135,Bestand!$A$14:$A$213,0)),"ID unbekannt"))</f>
        <v/>
      </c>
      <c r="C135" s="63" t="n"/>
      <c r="D135" s="62" t="n"/>
      <c r="E135" s="60" t="n"/>
      <c r="F135" s="60" t="n"/>
      <c r="G135" s="61" t="n"/>
      <c r="H135" s="69">
        <f>IF(OR(A135="",C135=""),"",COUNTIFS($A$7:$A$1006,A135,$C$7:$C$1006,"&lt;"&amp;C135)+1)</f>
        <v/>
      </c>
      <c r="I135" s="67">
        <f>IF(H135="","",IF(H135=1,"",C135-_xlfn.MAXIFS($C$7:$C$1006,$A$7:$A$1006,A135,$C$7:$C$1006,"&lt;"&amp;C135)))</f>
        <v/>
      </c>
      <c r="J135" s="68">
        <f>IF(I135="","",I135/TpM)</f>
        <v/>
      </c>
      <c r="K135" s="69">
        <f>IF(H135="","",COUNTIFS($A$7:$A$1006,A135,$C$7:$C$1006,"&gt;0")-H135)</f>
        <v/>
      </c>
      <c r="L135" s="69">
        <f>IF(H135="","",A135&amp;"|"&amp;H135)</f>
        <v/>
      </c>
      <c r="M135" s="69">
        <f>IF(A135="","",IFERROR(INDEX(Bestand!$AC$14:$AC$213,MATCH(A135,Bestand!$A$14:$A$213,0)),0))</f>
        <v/>
      </c>
      <c r="N135" s="69">
        <f>IF(OR(H135="",M135&lt;&gt;1),"",C135+ROW()/100000)</f>
        <v/>
      </c>
    </row>
    <row r="136" ht="20" customHeight="1">
      <c r="A136" s="60" t="n"/>
      <c r="B136" s="65">
        <f>IF(A136="","",IFERROR(INDEX(Bestand!$B$14:$B$213,MATCH(A136,Bestand!$A$14:$A$213,0)),"ID unbekannt"))</f>
        <v/>
      </c>
      <c r="C136" s="63" t="n"/>
      <c r="D136" s="62" t="n"/>
      <c r="E136" s="60" t="n"/>
      <c r="F136" s="60" t="n"/>
      <c r="G136" s="61" t="n"/>
      <c r="H136" s="69">
        <f>IF(OR(A136="",C136=""),"",COUNTIFS($A$7:$A$1006,A136,$C$7:$C$1006,"&lt;"&amp;C136)+1)</f>
        <v/>
      </c>
      <c r="I136" s="67">
        <f>IF(H136="","",IF(H136=1,"",C136-_xlfn.MAXIFS($C$7:$C$1006,$A$7:$A$1006,A136,$C$7:$C$1006,"&lt;"&amp;C136)))</f>
        <v/>
      </c>
      <c r="J136" s="68">
        <f>IF(I136="","",I136/TpM)</f>
        <v/>
      </c>
      <c r="K136" s="69">
        <f>IF(H136="","",COUNTIFS($A$7:$A$1006,A136,$C$7:$C$1006,"&gt;0")-H136)</f>
        <v/>
      </c>
      <c r="L136" s="69">
        <f>IF(H136="","",A136&amp;"|"&amp;H136)</f>
        <v/>
      </c>
      <c r="M136" s="69">
        <f>IF(A136="","",IFERROR(INDEX(Bestand!$AC$14:$AC$213,MATCH(A136,Bestand!$A$14:$A$213,0)),0))</f>
        <v/>
      </c>
      <c r="N136" s="69">
        <f>IF(OR(H136="",M136&lt;&gt;1),"",C136+ROW()/100000)</f>
        <v/>
      </c>
    </row>
    <row r="137" ht="20" customHeight="1">
      <c r="A137" s="60" t="n"/>
      <c r="B137" s="65">
        <f>IF(A137="","",IFERROR(INDEX(Bestand!$B$14:$B$213,MATCH(A137,Bestand!$A$14:$A$213,0)),"ID unbekannt"))</f>
        <v/>
      </c>
      <c r="C137" s="63" t="n"/>
      <c r="D137" s="62" t="n"/>
      <c r="E137" s="60" t="n"/>
      <c r="F137" s="60" t="n"/>
      <c r="G137" s="61" t="n"/>
      <c r="H137" s="69">
        <f>IF(OR(A137="",C137=""),"",COUNTIFS($A$7:$A$1006,A137,$C$7:$C$1006,"&lt;"&amp;C137)+1)</f>
        <v/>
      </c>
      <c r="I137" s="67">
        <f>IF(H137="","",IF(H137=1,"",C137-_xlfn.MAXIFS($C$7:$C$1006,$A$7:$A$1006,A137,$C$7:$C$1006,"&lt;"&amp;C137)))</f>
        <v/>
      </c>
      <c r="J137" s="68">
        <f>IF(I137="","",I137/TpM)</f>
        <v/>
      </c>
      <c r="K137" s="69">
        <f>IF(H137="","",COUNTIFS($A$7:$A$1006,A137,$C$7:$C$1006,"&gt;0")-H137)</f>
        <v/>
      </c>
      <c r="L137" s="69">
        <f>IF(H137="","",A137&amp;"|"&amp;H137)</f>
        <v/>
      </c>
      <c r="M137" s="69">
        <f>IF(A137="","",IFERROR(INDEX(Bestand!$AC$14:$AC$213,MATCH(A137,Bestand!$A$14:$A$213,0)),0))</f>
        <v/>
      </c>
      <c r="N137" s="69">
        <f>IF(OR(H137="",M137&lt;&gt;1),"",C137+ROW()/100000)</f>
        <v/>
      </c>
    </row>
    <row r="138" ht="20" customHeight="1">
      <c r="A138" s="60" t="n"/>
      <c r="B138" s="65">
        <f>IF(A138="","",IFERROR(INDEX(Bestand!$B$14:$B$213,MATCH(A138,Bestand!$A$14:$A$213,0)),"ID unbekannt"))</f>
        <v/>
      </c>
      <c r="C138" s="63" t="n"/>
      <c r="D138" s="62" t="n"/>
      <c r="E138" s="60" t="n"/>
      <c r="F138" s="60" t="n"/>
      <c r="G138" s="61" t="n"/>
      <c r="H138" s="69">
        <f>IF(OR(A138="",C138=""),"",COUNTIFS($A$7:$A$1006,A138,$C$7:$C$1006,"&lt;"&amp;C138)+1)</f>
        <v/>
      </c>
      <c r="I138" s="67">
        <f>IF(H138="","",IF(H138=1,"",C138-_xlfn.MAXIFS($C$7:$C$1006,$A$7:$A$1006,A138,$C$7:$C$1006,"&lt;"&amp;C138)))</f>
        <v/>
      </c>
      <c r="J138" s="68">
        <f>IF(I138="","",I138/TpM)</f>
        <v/>
      </c>
      <c r="K138" s="69">
        <f>IF(H138="","",COUNTIFS($A$7:$A$1006,A138,$C$7:$C$1006,"&gt;0")-H138)</f>
        <v/>
      </c>
      <c r="L138" s="69">
        <f>IF(H138="","",A138&amp;"|"&amp;H138)</f>
        <v/>
      </c>
      <c r="M138" s="69">
        <f>IF(A138="","",IFERROR(INDEX(Bestand!$AC$14:$AC$213,MATCH(A138,Bestand!$A$14:$A$213,0)),0))</f>
        <v/>
      </c>
      <c r="N138" s="69">
        <f>IF(OR(H138="",M138&lt;&gt;1),"",C138+ROW()/100000)</f>
        <v/>
      </c>
    </row>
    <row r="139" ht="20" customHeight="1">
      <c r="A139" s="60" t="n"/>
      <c r="B139" s="65">
        <f>IF(A139="","",IFERROR(INDEX(Bestand!$B$14:$B$213,MATCH(A139,Bestand!$A$14:$A$213,0)),"ID unbekannt"))</f>
        <v/>
      </c>
      <c r="C139" s="63" t="n"/>
      <c r="D139" s="62" t="n"/>
      <c r="E139" s="60" t="n"/>
      <c r="F139" s="60" t="n"/>
      <c r="G139" s="61" t="n"/>
      <c r="H139" s="69">
        <f>IF(OR(A139="",C139=""),"",COUNTIFS($A$7:$A$1006,A139,$C$7:$C$1006,"&lt;"&amp;C139)+1)</f>
        <v/>
      </c>
      <c r="I139" s="67">
        <f>IF(H139="","",IF(H139=1,"",C139-_xlfn.MAXIFS($C$7:$C$1006,$A$7:$A$1006,A139,$C$7:$C$1006,"&lt;"&amp;C139)))</f>
        <v/>
      </c>
      <c r="J139" s="68">
        <f>IF(I139="","",I139/TpM)</f>
        <v/>
      </c>
      <c r="K139" s="69">
        <f>IF(H139="","",COUNTIFS($A$7:$A$1006,A139,$C$7:$C$1006,"&gt;0")-H139)</f>
        <v/>
      </c>
      <c r="L139" s="69">
        <f>IF(H139="","",A139&amp;"|"&amp;H139)</f>
        <v/>
      </c>
      <c r="M139" s="69">
        <f>IF(A139="","",IFERROR(INDEX(Bestand!$AC$14:$AC$213,MATCH(A139,Bestand!$A$14:$A$213,0)),0))</f>
        <v/>
      </c>
      <c r="N139" s="69">
        <f>IF(OR(H139="",M139&lt;&gt;1),"",C139+ROW()/100000)</f>
        <v/>
      </c>
    </row>
    <row r="140" ht="20" customHeight="1">
      <c r="A140" s="60" t="n"/>
      <c r="B140" s="65">
        <f>IF(A140="","",IFERROR(INDEX(Bestand!$B$14:$B$213,MATCH(A140,Bestand!$A$14:$A$213,0)),"ID unbekannt"))</f>
        <v/>
      </c>
      <c r="C140" s="63" t="n"/>
      <c r="D140" s="62" t="n"/>
      <c r="E140" s="60" t="n"/>
      <c r="F140" s="60" t="n"/>
      <c r="G140" s="61" t="n"/>
      <c r="H140" s="69">
        <f>IF(OR(A140="",C140=""),"",COUNTIFS($A$7:$A$1006,A140,$C$7:$C$1006,"&lt;"&amp;C140)+1)</f>
        <v/>
      </c>
      <c r="I140" s="67">
        <f>IF(H140="","",IF(H140=1,"",C140-_xlfn.MAXIFS($C$7:$C$1006,$A$7:$A$1006,A140,$C$7:$C$1006,"&lt;"&amp;C140)))</f>
        <v/>
      </c>
      <c r="J140" s="68">
        <f>IF(I140="","",I140/TpM)</f>
        <v/>
      </c>
      <c r="K140" s="69">
        <f>IF(H140="","",COUNTIFS($A$7:$A$1006,A140,$C$7:$C$1006,"&gt;0")-H140)</f>
        <v/>
      </c>
      <c r="L140" s="69">
        <f>IF(H140="","",A140&amp;"|"&amp;H140)</f>
        <v/>
      </c>
      <c r="M140" s="69">
        <f>IF(A140="","",IFERROR(INDEX(Bestand!$AC$14:$AC$213,MATCH(A140,Bestand!$A$14:$A$213,0)),0))</f>
        <v/>
      </c>
      <c r="N140" s="69">
        <f>IF(OR(H140="",M140&lt;&gt;1),"",C140+ROW()/100000)</f>
        <v/>
      </c>
    </row>
    <row r="141" ht="20" customHeight="1">
      <c r="A141" s="60" t="n"/>
      <c r="B141" s="65">
        <f>IF(A141="","",IFERROR(INDEX(Bestand!$B$14:$B$213,MATCH(A141,Bestand!$A$14:$A$213,0)),"ID unbekannt"))</f>
        <v/>
      </c>
      <c r="C141" s="63" t="n"/>
      <c r="D141" s="62" t="n"/>
      <c r="E141" s="60" t="n"/>
      <c r="F141" s="60" t="n"/>
      <c r="G141" s="61" t="n"/>
      <c r="H141" s="69">
        <f>IF(OR(A141="",C141=""),"",COUNTIFS($A$7:$A$1006,A141,$C$7:$C$1006,"&lt;"&amp;C141)+1)</f>
        <v/>
      </c>
      <c r="I141" s="67">
        <f>IF(H141="","",IF(H141=1,"",C141-_xlfn.MAXIFS($C$7:$C$1006,$A$7:$A$1006,A141,$C$7:$C$1006,"&lt;"&amp;C141)))</f>
        <v/>
      </c>
      <c r="J141" s="68">
        <f>IF(I141="","",I141/TpM)</f>
        <v/>
      </c>
      <c r="K141" s="69">
        <f>IF(H141="","",COUNTIFS($A$7:$A$1006,A141,$C$7:$C$1006,"&gt;0")-H141)</f>
        <v/>
      </c>
      <c r="L141" s="69">
        <f>IF(H141="","",A141&amp;"|"&amp;H141)</f>
        <v/>
      </c>
      <c r="M141" s="69">
        <f>IF(A141="","",IFERROR(INDEX(Bestand!$AC$14:$AC$213,MATCH(A141,Bestand!$A$14:$A$213,0)),0))</f>
        <v/>
      </c>
      <c r="N141" s="69">
        <f>IF(OR(H141="",M141&lt;&gt;1),"",C141+ROW()/100000)</f>
        <v/>
      </c>
    </row>
    <row r="142" ht="20" customHeight="1">
      <c r="A142" s="60" t="n"/>
      <c r="B142" s="65">
        <f>IF(A142="","",IFERROR(INDEX(Bestand!$B$14:$B$213,MATCH(A142,Bestand!$A$14:$A$213,0)),"ID unbekannt"))</f>
        <v/>
      </c>
      <c r="C142" s="63" t="n"/>
      <c r="D142" s="62" t="n"/>
      <c r="E142" s="60" t="n"/>
      <c r="F142" s="60" t="n"/>
      <c r="G142" s="61" t="n"/>
      <c r="H142" s="69">
        <f>IF(OR(A142="",C142=""),"",COUNTIFS($A$7:$A$1006,A142,$C$7:$C$1006,"&lt;"&amp;C142)+1)</f>
        <v/>
      </c>
      <c r="I142" s="67">
        <f>IF(H142="","",IF(H142=1,"",C142-_xlfn.MAXIFS($C$7:$C$1006,$A$7:$A$1006,A142,$C$7:$C$1006,"&lt;"&amp;C142)))</f>
        <v/>
      </c>
      <c r="J142" s="68">
        <f>IF(I142="","",I142/TpM)</f>
        <v/>
      </c>
      <c r="K142" s="69">
        <f>IF(H142="","",COUNTIFS($A$7:$A$1006,A142,$C$7:$C$1006,"&gt;0")-H142)</f>
        <v/>
      </c>
      <c r="L142" s="69">
        <f>IF(H142="","",A142&amp;"|"&amp;H142)</f>
        <v/>
      </c>
      <c r="M142" s="69">
        <f>IF(A142="","",IFERROR(INDEX(Bestand!$AC$14:$AC$213,MATCH(A142,Bestand!$A$14:$A$213,0)),0))</f>
        <v/>
      </c>
      <c r="N142" s="69">
        <f>IF(OR(H142="",M142&lt;&gt;1),"",C142+ROW()/100000)</f>
        <v/>
      </c>
    </row>
    <row r="143" ht="20" customHeight="1">
      <c r="A143" s="60" t="n"/>
      <c r="B143" s="65">
        <f>IF(A143="","",IFERROR(INDEX(Bestand!$B$14:$B$213,MATCH(A143,Bestand!$A$14:$A$213,0)),"ID unbekannt"))</f>
        <v/>
      </c>
      <c r="C143" s="63" t="n"/>
      <c r="D143" s="62" t="n"/>
      <c r="E143" s="60" t="n"/>
      <c r="F143" s="60" t="n"/>
      <c r="G143" s="61" t="n"/>
      <c r="H143" s="69">
        <f>IF(OR(A143="",C143=""),"",COUNTIFS($A$7:$A$1006,A143,$C$7:$C$1006,"&lt;"&amp;C143)+1)</f>
        <v/>
      </c>
      <c r="I143" s="67">
        <f>IF(H143="","",IF(H143=1,"",C143-_xlfn.MAXIFS($C$7:$C$1006,$A$7:$A$1006,A143,$C$7:$C$1006,"&lt;"&amp;C143)))</f>
        <v/>
      </c>
      <c r="J143" s="68">
        <f>IF(I143="","",I143/TpM)</f>
        <v/>
      </c>
      <c r="K143" s="69">
        <f>IF(H143="","",COUNTIFS($A$7:$A$1006,A143,$C$7:$C$1006,"&gt;0")-H143)</f>
        <v/>
      </c>
      <c r="L143" s="69">
        <f>IF(H143="","",A143&amp;"|"&amp;H143)</f>
        <v/>
      </c>
      <c r="M143" s="69">
        <f>IF(A143="","",IFERROR(INDEX(Bestand!$AC$14:$AC$213,MATCH(A143,Bestand!$A$14:$A$213,0)),0))</f>
        <v/>
      </c>
      <c r="N143" s="69">
        <f>IF(OR(H143="",M143&lt;&gt;1),"",C143+ROW()/100000)</f>
        <v/>
      </c>
    </row>
    <row r="144" ht="20" customHeight="1">
      <c r="A144" s="60" t="n"/>
      <c r="B144" s="65">
        <f>IF(A144="","",IFERROR(INDEX(Bestand!$B$14:$B$213,MATCH(A144,Bestand!$A$14:$A$213,0)),"ID unbekannt"))</f>
        <v/>
      </c>
      <c r="C144" s="63" t="n"/>
      <c r="D144" s="62" t="n"/>
      <c r="E144" s="60" t="n"/>
      <c r="F144" s="60" t="n"/>
      <c r="G144" s="61" t="n"/>
      <c r="H144" s="69">
        <f>IF(OR(A144="",C144=""),"",COUNTIFS($A$7:$A$1006,A144,$C$7:$C$1006,"&lt;"&amp;C144)+1)</f>
        <v/>
      </c>
      <c r="I144" s="67">
        <f>IF(H144="","",IF(H144=1,"",C144-_xlfn.MAXIFS($C$7:$C$1006,$A$7:$A$1006,A144,$C$7:$C$1006,"&lt;"&amp;C144)))</f>
        <v/>
      </c>
      <c r="J144" s="68">
        <f>IF(I144="","",I144/TpM)</f>
        <v/>
      </c>
      <c r="K144" s="69">
        <f>IF(H144="","",COUNTIFS($A$7:$A$1006,A144,$C$7:$C$1006,"&gt;0")-H144)</f>
        <v/>
      </c>
      <c r="L144" s="69">
        <f>IF(H144="","",A144&amp;"|"&amp;H144)</f>
        <v/>
      </c>
      <c r="M144" s="69">
        <f>IF(A144="","",IFERROR(INDEX(Bestand!$AC$14:$AC$213,MATCH(A144,Bestand!$A$14:$A$213,0)),0))</f>
        <v/>
      </c>
      <c r="N144" s="69">
        <f>IF(OR(H144="",M144&lt;&gt;1),"",C144+ROW()/100000)</f>
        <v/>
      </c>
    </row>
    <row r="145" ht="20" customHeight="1">
      <c r="A145" s="60" t="n"/>
      <c r="B145" s="65">
        <f>IF(A145="","",IFERROR(INDEX(Bestand!$B$14:$B$213,MATCH(A145,Bestand!$A$14:$A$213,0)),"ID unbekannt"))</f>
        <v/>
      </c>
      <c r="C145" s="63" t="n"/>
      <c r="D145" s="62" t="n"/>
      <c r="E145" s="60" t="n"/>
      <c r="F145" s="60" t="n"/>
      <c r="G145" s="61" t="n"/>
      <c r="H145" s="69">
        <f>IF(OR(A145="",C145=""),"",COUNTIFS($A$7:$A$1006,A145,$C$7:$C$1006,"&lt;"&amp;C145)+1)</f>
        <v/>
      </c>
      <c r="I145" s="67">
        <f>IF(H145="","",IF(H145=1,"",C145-_xlfn.MAXIFS($C$7:$C$1006,$A$7:$A$1006,A145,$C$7:$C$1006,"&lt;"&amp;C145)))</f>
        <v/>
      </c>
      <c r="J145" s="68">
        <f>IF(I145="","",I145/TpM)</f>
        <v/>
      </c>
      <c r="K145" s="69">
        <f>IF(H145="","",COUNTIFS($A$7:$A$1006,A145,$C$7:$C$1006,"&gt;0")-H145)</f>
        <v/>
      </c>
      <c r="L145" s="69">
        <f>IF(H145="","",A145&amp;"|"&amp;H145)</f>
        <v/>
      </c>
      <c r="M145" s="69">
        <f>IF(A145="","",IFERROR(INDEX(Bestand!$AC$14:$AC$213,MATCH(A145,Bestand!$A$14:$A$213,0)),0))</f>
        <v/>
      </c>
      <c r="N145" s="69">
        <f>IF(OR(H145="",M145&lt;&gt;1),"",C145+ROW()/100000)</f>
        <v/>
      </c>
    </row>
    <row r="146" ht="20" customHeight="1">
      <c r="A146" s="60" t="n"/>
      <c r="B146" s="65">
        <f>IF(A146="","",IFERROR(INDEX(Bestand!$B$14:$B$213,MATCH(A146,Bestand!$A$14:$A$213,0)),"ID unbekannt"))</f>
        <v/>
      </c>
      <c r="C146" s="63" t="n"/>
      <c r="D146" s="62" t="n"/>
      <c r="E146" s="60" t="n"/>
      <c r="F146" s="60" t="n"/>
      <c r="G146" s="61" t="n"/>
      <c r="H146" s="69">
        <f>IF(OR(A146="",C146=""),"",COUNTIFS($A$7:$A$1006,A146,$C$7:$C$1006,"&lt;"&amp;C146)+1)</f>
        <v/>
      </c>
      <c r="I146" s="67">
        <f>IF(H146="","",IF(H146=1,"",C146-_xlfn.MAXIFS($C$7:$C$1006,$A$7:$A$1006,A146,$C$7:$C$1006,"&lt;"&amp;C146)))</f>
        <v/>
      </c>
      <c r="J146" s="68">
        <f>IF(I146="","",I146/TpM)</f>
        <v/>
      </c>
      <c r="K146" s="69">
        <f>IF(H146="","",COUNTIFS($A$7:$A$1006,A146,$C$7:$C$1006,"&gt;0")-H146)</f>
        <v/>
      </c>
      <c r="L146" s="69">
        <f>IF(H146="","",A146&amp;"|"&amp;H146)</f>
        <v/>
      </c>
      <c r="M146" s="69">
        <f>IF(A146="","",IFERROR(INDEX(Bestand!$AC$14:$AC$213,MATCH(A146,Bestand!$A$14:$A$213,0)),0))</f>
        <v/>
      </c>
      <c r="N146" s="69">
        <f>IF(OR(H146="",M146&lt;&gt;1),"",C146+ROW()/100000)</f>
        <v/>
      </c>
    </row>
    <row r="147" ht="20" customHeight="1">
      <c r="A147" s="60" t="n"/>
      <c r="B147" s="65">
        <f>IF(A147="","",IFERROR(INDEX(Bestand!$B$14:$B$213,MATCH(A147,Bestand!$A$14:$A$213,0)),"ID unbekannt"))</f>
        <v/>
      </c>
      <c r="C147" s="63" t="n"/>
      <c r="D147" s="62" t="n"/>
      <c r="E147" s="60" t="n"/>
      <c r="F147" s="60" t="n"/>
      <c r="G147" s="61" t="n"/>
      <c r="H147" s="69">
        <f>IF(OR(A147="",C147=""),"",COUNTIFS($A$7:$A$1006,A147,$C$7:$C$1006,"&lt;"&amp;C147)+1)</f>
        <v/>
      </c>
      <c r="I147" s="67">
        <f>IF(H147="","",IF(H147=1,"",C147-_xlfn.MAXIFS($C$7:$C$1006,$A$7:$A$1006,A147,$C$7:$C$1006,"&lt;"&amp;C147)))</f>
        <v/>
      </c>
      <c r="J147" s="68">
        <f>IF(I147="","",I147/TpM)</f>
        <v/>
      </c>
      <c r="K147" s="69">
        <f>IF(H147="","",COUNTIFS($A$7:$A$1006,A147,$C$7:$C$1006,"&gt;0")-H147)</f>
        <v/>
      </c>
      <c r="L147" s="69">
        <f>IF(H147="","",A147&amp;"|"&amp;H147)</f>
        <v/>
      </c>
      <c r="M147" s="69">
        <f>IF(A147="","",IFERROR(INDEX(Bestand!$AC$14:$AC$213,MATCH(A147,Bestand!$A$14:$A$213,0)),0))</f>
        <v/>
      </c>
      <c r="N147" s="69">
        <f>IF(OR(H147="",M147&lt;&gt;1),"",C147+ROW()/100000)</f>
        <v/>
      </c>
    </row>
    <row r="148" ht="20" customHeight="1">
      <c r="A148" s="60" t="n"/>
      <c r="B148" s="65">
        <f>IF(A148="","",IFERROR(INDEX(Bestand!$B$14:$B$213,MATCH(A148,Bestand!$A$14:$A$213,0)),"ID unbekannt"))</f>
        <v/>
      </c>
      <c r="C148" s="63" t="n"/>
      <c r="D148" s="62" t="n"/>
      <c r="E148" s="60" t="n"/>
      <c r="F148" s="60" t="n"/>
      <c r="G148" s="61" t="n"/>
      <c r="H148" s="69">
        <f>IF(OR(A148="",C148=""),"",COUNTIFS($A$7:$A$1006,A148,$C$7:$C$1006,"&lt;"&amp;C148)+1)</f>
        <v/>
      </c>
      <c r="I148" s="67">
        <f>IF(H148="","",IF(H148=1,"",C148-_xlfn.MAXIFS($C$7:$C$1006,$A$7:$A$1006,A148,$C$7:$C$1006,"&lt;"&amp;C148)))</f>
        <v/>
      </c>
      <c r="J148" s="68">
        <f>IF(I148="","",I148/TpM)</f>
        <v/>
      </c>
      <c r="K148" s="69">
        <f>IF(H148="","",COUNTIFS($A$7:$A$1006,A148,$C$7:$C$1006,"&gt;0")-H148)</f>
        <v/>
      </c>
      <c r="L148" s="69">
        <f>IF(H148="","",A148&amp;"|"&amp;H148)</f>
        <v/>
      </c>
      <c r="M148" s="69">
        <f>IF(A148="","",IFERROR(INDEX(Bestand!$AC$14:$AC$213,MATCH(A148,Bestand!$A$14:$A$213,0)),0))</f>
        <v/>
      </c>
      <c r="N148" s="69">
        <f>IF(OR(H148="",M148&lt;&gt;1),"",C148+ROW()/100000)</f>
        <v/>
      </c>
    </row>
    <row r="149" ht="20" customHeight="1">
      <c r="A149" s="60" t="n"/>
      <c r="B149" s="65">
        <f>IF(A149="","",IFERROR(INDEX(Bestand!$B$14:$B$213,MATCH(A149,Bestand!$A$14:$A$213,0)),"ID unbekannt"))</f>
        <v/>
      </c>
      <c r="C149" s="63" t="n"/>
      <c r="D149" s="62" t="n"/>
      <c r="E149" s="60" t="n"/>
      <c r="F149" s="60" t="n"/>
      <c r="G149" s="61" t="n"/>
      <c r="H149" s="69">
        <f>IF(OR(A149="",C149=""),"",COUNTIFS($A$7:$A$1006,A149,$C$7:$C$1006,"&lt;"&amp;C149)+1)</f>
        <v/>
      </c>
      <c r="I149" s="67">
        <f>IF(H149="","",IF(H149=1,"",C149-_xlfn.MAXIFS($C$7:$C$1006,$A$7:$A$1006,A149,$C$7:$C$1006,"&lt;"&amp;C149)))</f>
        <v/>
      </c>
      <c r="J149" s="68">
        <f>IF(I149="","",I149/TpM)</f>
        <v/>
      </c>
      <c r="K149" s="69">
        <f>IF(H149="","",COUNTIFS($A$7:$A$1006,A149,$C$7:$C$1006,"&gt;0")-H149)</f>
        <v/>
      </c>
      <c r="L149" s="69">
        <f>IF(H149="","",A149&amp;"|"&amp;H149)</f>
        <v/>
      </c>
      <c r="M149" s="69">
        <f>IF(A149="","",IFERROR(INDEX(Bestand!$AC$14:$AC$213,MATCH(A149,Bestand!$A$14:$A$213,0)),0))</f>
        <v/>
      </c>
      <c r="N149" s="69">
        <f>IF(OR(H149="",M149&lt;&gt;1),"",C149+ROW()/100000)</f>
        <v/>
      </c>
    </row>
    <row r="150" ht="20" customHeight="1">
      <c r="A150" s="60" t="n"/>
      <c r="B150" s="65">
        <f>IF(A150="","",IFERROR(INDEX(Bestand!$B$14:$B$213,MATCH(A150,Bestand!$A$14:$A$213,0)),"ID unbekannt"))</f>
        <v/>
      </c>
      <c r="C150" s="63" t="n"/>
      <c r="D150" s="62" t="n"/>
      <c r="E150" s="60" t="n"/>
      <c r="F150" s="60" t="n"/>
      <c r="G150" s="61" t="n"/>
      <c r="H150" s="69">
        <f>IF(OR(A150="",C150=""),"",COUNTIFS($A$7:$A$1006,A150,$C$7:$C$1006,"&lt;"&amp;C150)+1)</f>
        <v/>
      </c>
      <c r="I150" s="67">
        <f>IF(H150="","",IF(H150=1,"",C150-_xlfn.MAXIFS($C$7:$C$1006,$A$7:$A$1006,A150,$C$7:$C$1006,"&lt;"&amp;C150)))</f>
        <v/>
      </c>
      <c r="J150" s="68">
        <f>IF(I150="","",I150/TpM)</f>
        <v/>
      </c>
      <c r="K150" s="69">
        <f>IF(H150="","",COUNTIFS($A$7:$A$1006,A150,$C$7:$C$1006,"&gt;0")-H150)</f>
        <v/>
      </c>
      <c r="L150" s="69">
        <f>IF(H150="","",A150&amp;"|"&amp;H150)</f>
        <v/>
      </c>
      <c r="M150" s="69">
        <f>IF(A150="","",IFERROR(INDEX(Bestand!$AC$14:$AC$213,MATCH(A150,Bestand!$A$14:$A$213,0)),0))</f>
        <v/>
      </c>
      <c r="N150" s="69">
        <f>IF(OR(H150="",M150&lt;&gt;1),"",C150+ROW()/100000)</f>
        <v/>
      </c>
    </row>
    <row r="151" ht="20" customHeight="1">
      <c r="A151" s="60" t="n"/>
      <c r="B151" s="65">
        <f>IF(A151="","",IFERROR(INDEX(Bestand!$B$14:$B$213,MATCH(A151,Bestand!$A$14:$A$213,0)),"ID unbekannt"))</f>
        <v/>
      </c>
      <c r="C151" s="63" t="n"/>
      <c r="D151" s="62" t="n"/>
      <c r="E151" s="60" t="n"/>
      <c r="F151" s="60" t="n"/>
      <c r="G151" s="61" t="n"/>
      <c r="H151" s="69">
        <f>IF(OR(A151="",C151=""),"",COUNTIFS($A$7:$A$1006,A151,$C$7:$C$1006,"&lt;"&amp;C151)+1)</f>
        <v/>
      </c>
      <c r="I151" s="67">
        <f>IF(H151="","",IF(H151=1,"",C151-_xlfn.MAXIFS($C$7:$C$1006,$A$7:$A$1006,A151,$C$7:$C$1006,"&lt;"&amp;C151)))</f>
        <v/>
      </c>
      <c r="J151" s="68">
        <f>IF(I151="","",I151/TpM)</f>
        <v/>
      </c>
      <c r="K151" s="69">
        <f>IF(H151="","",COUNTIFS($A$7:$A$1006,A151,$C$7:$C$1006,"&gt;0")-H151)</f>
        <v/>
      </c>
      <c r="L151" s="69">
        <f>IF(H151="","",A151&amp;"|"&amp;H151)</f>
        <v/>
      </c>
      <c r="M151" s="69">
        <f>IF(A151="","",IFERROR(INDEX(Bestand!$AC$14:$AC$213,MATCH(A151,Bestand!$A$14:$A$213,0)),0))</f>
        <v/>
      </c>
      <c r="N151" s="69">
        <f>IF(OR(H151="",M151&lt;&gt;1),"",C151+ROW()/100000)</f>
        <v/>
      </c>
    </row>
    <row r="152" ht="20" customHeight="1">
      <c r="A152" s="60" t="n"/>
      <c r="B152" s="65">
        <f>IF(A152="","",IFERROR(INDEX(Bestand!$B$14:$B$213,MATCH(A152,Bestand!$A$14:$A$213,0)),"ID unbekannt"))</f>
        <v/>
      </c>
      <c r="C152" s="63" t="n"/>
      <c r="D152" s="62" t="n"/>
      <c r="E152" s="60" t="n"/>
      <c r="F152" s="60" t="n"/>
      <c r="G152" s="61" t="n"/>
      <c r="H152" s="69">
        <f>IF(OR(A152="",C152=""),"",COUNTIFS($A$7:$A$1006,A152,$C$7:$C$1006,"&lt;"&amp;C152)+1)</f>
        <v/>
      </c>
      <c r="I152" s="67">
        <f>IF(H152="","",IF(H152=1,"",C152-_xlfn.MAXIFS($C$7:$C$1006,$A$7:$A$1006,A152,$C$7:$C$1006,"&lt;"&amp;C152)))</f>
        <v/>
      </c>
      <c r="J152" s="68">
        <f>IF(I152="","",I152/TpM)</f>
        <v/>
      </c>
      <c r="K152" s="69">
        <f>IF(H152="","",COUNTIFS($A$7:$A$1006,A152,$C$7:$C$1006,"&gt;0")-H152)</f>
        <v/>
      </c>
      <c r="L152" s="69">
        <f>IF(H152="","",A152&amp;"|"&amp;H152)</f>
        <v/>
      </c>
      <c r="M152" s="69">
        <f>IF(A152="","",IFERROR(INDEX(Bestand!$AC$14:$AC$213,MATCH(A152,Bestand!$A$14:$A$213,0)),0))</f>
        <v/>
      </c>
      <c r="N152" s="69">
        <f>IF(OR(H152="",M152&lt;&gt;1),"",C152+ROW()/100000)</f>
        <v/>
      </c>
    </row>
    <row r="153" ht="20" customHeight="1">
      <c r="A153" s="60" t="n"/>
      <c r="B153" s="65">
        <f>IF(A153="","",IFERROR(INDEX(Bestand!$B$14:$B$213,MATCH(A153,Bestand!$A$14:$A$213,0)),"ID unbekannt"))</f>
        <v/>
      </c>
      <c r="C153" s="63" t="n"/>
      <c r="D153" s="62" t="n"/>
      <c r="E153" s="60" t="n"/>
      <c r="F153" s="60" t="n"/>
      <c r="G153" s="61" t="n"/>
      <c r="H153" s="69">
        <f>IF(OR(A153="",C153=""),"",COUNTIFS($A$7:$A$1006,A153,$C$7:$C$1006,"&lt;"&amp;C153)+1)</f>
        <v/>
      </c>
      <c r="I153" s="67">
        <f>IF(H153="","",IF(H153=1,"",C153-_xlfn.MAXIFS($C$7:$C$1006,$A$7:$A$1006,A153,$C$7:$C$1006,"&lt;"&amp;C153)))</f>
        <v/>
      </c>
      <c r="J153" s="68">
        <f>IF(I153="","",I153/TpM)</f>
        <v/>
      </c>
      <c r="K153" s="69">
        <f>IF(H153="","",COUNTIFS($A$7:$A$1006,A153,$C$7:$C$1006,"&gt;0")-H153)</f>
        <v/>
      </c>
      <c r="L153" s="69">
        <f>IF(H153="","",A153&amp;"|"&amp;H153)</f>
        <v/>
      </c>
      <c r="M153" s="69">
        <f>IF(A153="","",IFERROR(INDEX(Bestand!$AC$14:$AC$213,MATCH(A153,Bestand!$A$14:$A$213,0)),0))</f>
        <v/>
      </c>
      <c r="N153" s="69">
        <f>IF(OR(H153="",M153&lt;&gt;1),"",C153+ROW()/100000)</f>
        <v/>
      </c>
    </row>
    <row r="154" ht="20" customHeight="1">
      <c r="A154" s="60" t="n"/>
      <c r="B154" s="65">
        <f>IF(A154="","",IFERROR(INDEX(Bestand!$B$14:$B$213,MATCH(A154,Bestand!$A$14:$A$213,0)),"ID unbekannt"))</f>
        <v/>
      </c>
      <c r="C154" s="63" t="n"/>
      <c r="D154" s="62" t="n"/>
      <c r="E154" s="60" t="n"/>
      <c r="F154" s="60" t="n"/>
      <c r="G154" s="61" t="n"/>
      <c r="H154" s="69">
        <f>IF(OR(A154="",C154=""),"",COUNTIFS($A$7:$A$1006,A154,$C$7:$C$1006,"&lt;"&amp;C154)+1)</f>
        <v/>
      </c>
      <c r="I154" s="67">
        <f>IF(H154="","",IF(H154=1,"",C154-_xlfn.MAXIFS($C$7:$C$1006,$A$7:$A$1006,A154,$C$7:$C$1006,"&lt;"&amp;C154)))</f>
        <v/>
      </c>
      <c r="J154" s="68">
        <f>IF(I154="","",I154/TpM)</f>
        <v/>
      </c>
      <c r="K154" s="69">
        <f>IF(H154="","",COUNTIFS($A$7:$A$1006,A154,$C$7:$C$1006,"&gt;0")-H154)</f>
        <v/>
      </c>
      <c r="L154" s="69">
        <f>IF(H154="","",A154&amp;"|"&amp;H154)</f>
        <v/>
      </c>
      <c r="M154" s="69">
        <f>IF(A154="","",IFERROR(INDEX(Bestand!$AC$14:$AC$213,MATCH(A154,Bestand!$A$14:$A$213,0)),0))</f>
        <v/>
      </c>
      <c r="N154" s="69">
        <f>IF(OR(H154="",M154&lt;&gt;1),"",C154+ROW()/100000)</f>
        <v/>
      </c>
    </row>
    <row r="155" ht="20" customHeight="1">
      <c r="A155" s="60" t="n"/>
      <c r="B155" s="65">
        <f>IF(A155="","",IFERROR(INDEX(Bestand!$B$14:$B$213,MATCH(A155,Bestand!$A$14:$A$213,0)),"ID unbekannt"))</f>
        <v/>
      </c>
      <c r="C155" s="63" t="n"/>
      <c r="D155" s="62" t="n"/>
      <c r="E155" s="60" t="n"/>
      <c r="F155" s="60" t="n"/>
      <c r="G155" s="61" t="n"/>
      <c r="H155" s="69">
        <f>IF(OR(A155="",C155=""),"",COUNTIFS($A$7:$A$1006,A155,$C$7:$C$1006,"&lt;"&amp;C155)+1)</f>
        <v/>
      </c>
      <c r="I155" s="67">
        <f>IF(H155="","",IF(H155=1,"",C155-_xlfn.MAXIFS($C$7:$C$1006,$A$7:$A$1006,A155,$C$7:$C$1006,"&lt;"&amp;C155)))</f>
        <v/>
      </c>
      <c r="J155" s="68">
        <f>IF(I155="","",I155/TpM)</f>
        <v/>
      </c>
      <c r="K155" s="69">
        <f>IF(H155="","",COUNTIFS($A$7:$A$1006,A155,$C$7:$C$1006,"&gt;0")-H155)</f>
        <v/>
      </c>
      <c r="L155" s="69">
        <f>IF(H155="","",A155&amp;"|"&amp;H155)</f>
        <v/>
      </c>
      <c r="M155" s="69">
        <f>IF(A155="","",IFERROR(INDEX(Bestand!$AC$14:$AC$213,MATCH(A155,Bestand!$A$14:$A$213,0)),0))</f>
        <v/>
      </c>
      <c r="N155" s="69">
        <f>IF(OR(H155="",M155&lt;&gt;1),"",C155+ROW()/100000)</f>
        <v/>
      </c>
    </row>
    <row r="156" ht="20" customHeight="1">
      <c r="A156" s="60" t="n"/>
      <c r="B156" s="65">
        <f>IF(A156="","",IFERROR(INDEX(Bestand!$B$14:$B$213,MATCH(A156,Bestand!$A$14:$A$213,0)),"ID unbekannt"))</f>
        <v/>
      </c>
      <c r="C156" s="63" t="n"/>
      <c r="D156" s="62" t="n"/>
      <c r="E156" s="60" t="n"/>
      <c r="F156" s="60" t="n"/>
      <c r="G156" s="61" t="n"/>
      <c r="H156" s="69">
        <f>IF(OR(A156="",C156=""),"",COUNTIFS($A$7:$A$1006,A156,$C$7:$C$1006,"&lt;"&amp;C156)+1)</f>
        <v/>
      </c>
      <c r="I156" s="67">
        <f>IF(H156="","",IF(H156=1,"",C156-_xlfn.MAXIFS($C$7:$C$1006,$A$7:$A$1006,A156,$C$7:$C$1006,"&lt;"&amp;C156)))</f>
        <v/>
      </c>
      <c r="J156" s="68">
        <f>IF(I156="","",I156/TpM)</f>
        <v/>
      </c>
      <c r="K156" s="69">
        <f>IF(H156="","",COUNTIFS($A$7:$A$1006,A156,$C$7:$C$1006,"&gt;0")-H156)</f>
        <v/>
      </c>
      <c r="L156" s="69">
        <f>IF(H156="","",A156&amp;"|"&amp;H156)</f>
        <v/>
      </c>
      <c r="M156" s="69">
        <f>IF(A156="","",IFERROR(INDEX(Bestand!$AC$14:$AC$213,MATCH(A156,Bestand!$A$14:$A$213,0)),0))</f>
        <v/>
      </c>
      <c r="N156" s="69">
        <f>IF(OR(H156="",M156&lt;&gt;1),"",C156+ROW()/100000)</f>
        <v/>
      </c>
    </row>
    <row r="157" ht="20" customHeight="1">
      <c r="A157" s="60" t="n"/>
      <c r="B157" s="65">
        <f>IF(A157="","",IFERROR(INDEX(Bestand!$B$14:$B$213,MATCH(A157,Bestand!$A$14:$A$213,0)),"ID unbekannt"))</f>
        <v/>
      </c>
      <c r="C157" s="63" t="n"/>
      <c r="D157" s="62" t="n"/>
      <c r="E157" s="60" t="n"/>
      <c r="F157" s="60" t="n"/>
      <c r="G157" s="61" t="n"/>
      <c r="H157" s="69">
        <f>IF(OR(A157="",C157=""),"",COUNTIFS($A$7:$A$1006,A157,$C$7:$C$1006,"&lt;"&amp;C157)+1)</f>
        <v/>
      </c>
      <c r="I157" s="67">
        <f>IF(H157="","",IF(H157=1,"",C157-_xlfn.MAXIFS($C$7:$C$1006,$A$7:$A$1006,A157,$C$7:$C$1006,"&lt;"&amp;C157)))</f>
        <v/>
      </c>
      <c r="J157" s="68">
        <f>IF(I157="","",I157/TpM)</f>
        <v/>
      </c>
      <c r="K157" s="69">
        <f>IF(H157="","",COUNTIFS($A$7:$A$1006,A157,$C$7:$C$1006,"&gt;0")-H157)</f>
        <v/>
      </c>
      <c r="L157" s="69">
        <f>IF(H157="","",A157&amp;"|"&amp;H157)</f>
        <v/>
      </c>
      <c r="M157" s="69">
        <f>IF(A157="","",IFERROR(INDEX(Bestand!$AC$14:$AC$213,MATCH(A157,Bestand!$A$14:$A$213,0)),0))</f>
        <v/>
      </c>
      <c r="N157" s="69">
        <f>IF(OR(H157="",M157&lt;&gt;1),"",C157+ROW()/100000)</f>
        <v/>
      </c>
    </row>
    <row r="158" ht="20" customHeight="1">
      <c r="A158" s="60" t="n"/>
      <c r="B158" s="65">
        <f>IF(A158="","",IFERROR(INDEX(Bestand!$B$14:$B$213,MATCH(A158,Bestand!$A$14:$A$213,0)),"ID unbekannt"))</f>
        <v/>
      </c>
      <c r="C158" s="63" t="n"/>
      <c r="D158" s="62" t="n"/>
      <c r="E158" s="60" t="n"/>
      <c r="F158" s="60" t="n"/>
      <c r="G158" s="61" t="n"/>
      <c r="H158" s="69">
        <f>IF(OR(A158="",C158=""),"",COUNTIFS($A$7:$A$1006,A158,$C$7:$C$1006,"&lt;"&amp;C158)+1)</f>
        <v/>
      </c>
      <c r="I158" s="67">
        <f>IF(H158="","",IF(H158=1,"",C158-_xlfn.MAXIFS($C$7:$C$1006,$A$7:$A$1006,A158,$C$7:$C$1006,"&lt;"&amp;C158)))</f>
        <v/>
      </c>
      <c r="J158" s="68">
        <f>IF(I158="","",I158/TpM)</f>
        <v/>
      </c>
      <c r="K158" s="69">
        <f>IF(H158="","",COUNTIFS($A$7:$A$1006,A158,$C$7:$C$1006,"&gt;0")-H158)</f>
        <v/>
      </c>
      <c r="L158" s="69">
        <f>IF(H158="","",A158&amp;"|"&amp;H158)</f>
        <v/>
      </c>
      <c r="M158" s="69">
        <f>IF(A158="","",IFERROR(INDEX(Bestand!$AC$14:$AC$213,MATCH(A158,Bestand!$A$14:$A$213,0)),0))</f>
        <v/>
      </c>
      <c r="N158" s="69">
        <f>IF(OR(H158="",M158&lt;&gt;1),"",C158+ROW()/100000)</f>
        <v/>
      </c>
    </row>
    <row r="159" ht="20" customHeight="1">
      <c r="A159" s="60" t="n"/>
      <c r="B159" s="65">
        <f>IF(A159="","",IFERROR(INDEX(Bestand!$B$14:$B$213,MATCH(A159,Bestand!$A$14:$A$213,0)),"ID unbekannt"))</f>
        <v/>
      </c>
      <c r="C159" s="63" t="n"/>
      <c r="D159" s="62" t="n"/>
      <c r="E159" s="60" t="n"/>
      <c r="F159" s="60" t="n"/>
      <c r="G159" s="61" t="n"/>
      <c r="H159" s="69">
        <f>IF(OR(A159="",C159=""),"",COUNTIFS($A$7:$A$1006,A159,$C$7:$C$1006,"&lt;"&amp;C159)+1)</f>
        <v/>
      </c>
      <c r="I159" s="67">
        <f>IF(H159="","",IF(H159=1,"",C159-_xlfn.MAXIFS($C$7:$C$1006,$A$7:$A$1006,A159,$C$7:$C$1006,"&lt;"&amp;C159)))</f>
        <v/>
      </c>
      <c r="J159" s="68">
        <f>IF(I159="","",I159/TpM)</f>
        <v/>
      </c>
      <c r="K159" s="69">
        <f>IF(H159="","",COUNTIFS($A$7:$A$1006,A159,$C$7:$C$1006,"&gt;0")-H159)</f>
        <v/>
      </c>
      <c r="L159" s="69">
        <f>IF(H159="","",A159&amp;"|"&amp;H159)</f>
        <v/>
      </c>
      <c r="M159" s="69">
        <f>IF(A159="","",IFERROR(INDEX(Bestand!$AC$14:$AC$213,MATCH(A159,Bestand!$A$14:$A$213,0)),0))</f>
        <v/>
      </c>
      <c r="N159" s="69">
        <f>IF(OR(H159="",M159&lt;&gt;1),"",C159+ROW()/100000)</f>
        <v/>
      </c>
    </row>
    <row r="160" ht="20" customHeight="1">
      <c r="A160" s="60" t="n"/>
      <c r="B160" s="65">
        <f>IF(A160="","",IFERROR(INDEX(Bestand!$B$14:$B$213,MATCH(A160,Bestand!$A$14:$A$213,0)),"ID unbekannt"))</f>
        <v/>
      </c>
      <c r="C160" s="63" t="n"/>
      <c r="D160" s="62" t="n"/>
      <c r="E160" s="60" t="n"/>
      <c r="F160" s="60" t="n"/>
      <c r="G160" s="61" t="n"/>
      <c r="H160" s="69">
        <f>IF(OR(A160="",C160=""),"",COUNTIFS($A$7:$A$1006,A160,$C$7:$C$1006,"&lt;"&amp;C160)+1)</f>
        <v/>
      </c>
      <c r="I160" s="67">
        <f>IF(H160="","",IF(H160=1,"",C160-_xlfn.MAXIFS($C$7:$C$1006,$A$7:$A$1006,A160,$C$7:$C$1006,"&lt;"&amp;C160)))</f>
        <v/>
      </c>
      <c r="J160" s="68">
        <f>IF(I160="","",I160/TpM)</f>
        <v/>
      </c>
      <c r="K160" s="69">
        <f>IF(H160="","",COUNTIFS($A$7:$A$1006,A160,$C$7:$C$1006,"&gt;0")-H160)</f>
        <v/>
      </c>
      <c r="L160" s="69">
        <f>IF(H160="","",A160&amp;"|"&amp;H160)</f>
        <v/>
      </c>
      <c r="M160" s="69">
        <f>IF(A160="","",IFERROR(INDEX(Bestand!$AC$14:$AC$213,MATCH(A160,Bestand!$A$14:$A$213,0)),0))</f>
        <v/>
      </c>
      <c r="N160" s="69">
        <f>IF(OR(H160="",M160&lt;&gt;1),"",C160+ROW()/100000)</f>
        <v/>
      </c>
    </row>
    <row r="161" ht="20" customHeight="1">
      <c r="A161" s="60" t="n"/>
      <c r="B161" s="65">
        <f>IF(A161="","",IFERROR(INDEX(Bestand!$B$14:$B$213,MATCH(A161,Bestand!$A$14:$A$213,0)),"ID unbekannt"))</f>
        <v/>
      </c>
      <c r="C161" s="63" t="n"/>
      <c r="D161" s="62" t="n"/>
      <c r="E161" s="60" t="n"/>
      <c r="F161" s="60" t="n"/>
      <c r="G161" s="61" t="n"/>
      <c r="H161" s="69">
        <f>IF(OR(A161="",C161=""),"",COUNTIFS($A$7:$A$1006,A161,$C$7:$C$1006,"&lt;"&amp;C161)+1)</f>
        <v/>
      </c>
      <c r="I161" s="67">
        <f>IF(H161="","",IF(H161=1,"",C161-_xlfn.MAXIFS($C$7:$C$1006,$A$7:$A$1006,A161,$C$7:$C$1006,"&lt;"&amp;C161)))</f>
        <v/>
      </c>
      <c r="J161" s="68">
        <f>IF(I161="","",I161/TpM)</f>
        <v/>
      </c>
      <c r="K161" s="69">
        <f>IF(H161="","",COUNTIFS($A$7:$A$1006,A161,$C$7:$C$1006,"&gt;0")-H161)</f>
        <v/>
      </c>
      <c r="L161" s="69">
        <f>IF(H161="","",A161&amp;"|"&amp;H161)</f>
        <v/>
      </c>
      <c r="M161" s="69">
        <f>IF(A161="","",IFERROR(INDEX(Bestand!$AC$14:$AC$213,MATCH(A161,Bestand!$A$14:$A$213,0)),0))</f>
        <v/>
      </c>
      <c r="N161" s="69">
        <f>IF(OR(H161="",M161&lt;&gt;1),"",C161+ROW()/100000)</f>
        <v/>
      </c>
    </row>
    <row r="162" ht="20" customHeight="1">
      <c r="A162" s="60" t="n"/>
      <c r="B162" s="65">
        <f>IF(A162="","",IFERROR(INDEX(Bestand!$B$14:$B$213,MATCH(A162,Bestand!$A$14:$A$213,0)),"ID unbekannt"))</f>
        <v/>
      </c>
      <c r="C162" s="63" t="n"/>
      <c r="D162" s="62" t="n"/>
      <c r="E162" s="60" t="n"/>
      <c r="F162" s="60" t="n"/>
      <c r="G162" s="61" t="n"/>
      <c r="H162" s="69">
        <f>IF(OR(A162="",C162=""),"",COUNTIFS($A$7:$A$1006,A162,$C$7:$C$1006,"&lt;"&amp;C162)+1)</f>
        <v/>
      </c>
      <c r="I162" s="67">
        <f>IF(H162="","",IF(H162=1,"",C162-_xlfn.MAXIFS($C$7:$C$1006,$A$7:$A$1006,A162,$C$7:$C$1006,"&lt;"&amp;C162)))</f>
        <v/>
      </c>
      <c r="J162" s="68">
        <f>IF(I162="","",I162/TpM)</f>
        <v/>
      </c>
      <c r="K162" s="69">
        <f>IF(H162="","",COUNTIFS($A$7:$A$1006,A162,$C$7:$C$1006,"&gt;0")-H162)</f>
        <v/>
      </c>
      <c r="L162" s="69">
        <f>IF(H162="","",A162&amp;"|"&amp;H162)</f>
        <v/>
      </c>
      <c r="M162" s="69">
        <f>IF(A162="","",IFERROR(INDEX(Bestand!$AC$14:$AC$213,MATCH(A162,Bestand!$A$14:$A$213,0)),0))</f>
        <v/>
      </c>
      <c r="N162" s="69">
        <f>IF(OR(H162="",M162&lt;&gt;1),"",C162+ROW()/100000)</f>
        <v/>
      </c>
    </row>
    <row r="163" ht="20" customHeight="1">
      <c r="A163" s="60" t="n"/>
      <c r="B163" s="65">
        <f>IF(A163="","",IFERROR(INDEX(Bestand!$B$14:$B$213,MATCH(A163,Bestand!$A$14:$A$213,0)),"ID unbekannt"))</f>
        <v/>
      </c>
      <c r="C163" s="63" t="n"/>
      <c r="D163" s="62" t="n"/>
      <c r="E163" s="60" t="n"/>
      <c r="F163" s="60" t="n"/>
      <c r="G163" s="61" t="n"/>
      <c r="H163" s="69">
        <f>IF(OR(A163="",C163=""),"",COUNTIFS($A$7:$A$1006,A163,$C$7:$C$1006,"&lt;"&amp;C163)+1)</f>
        <v/>
      </c>
      <c r="I163" s="67">
        <f>IF(H163="","",IF(H163=1,"",C163-_xlfn.MAXIFS($C$7:$C$1006,$A$7:$A$1006,A163,$C$7:$C$1006,"&lt;"&amp;C163)))</f>
        <v/>
      </c>
      <c r="J163" s="68">
        <f>IF(I163="","",I163/TpM)</f>
        <v/>
      </c>
      <c r="K163" s="69">
        <f>IF(H163="","",COUNTIFS($A$7:$A$1006,A163,$C$7:$C$1006,"&gt;0")-H163)</f>
        <v/>
      </c>
      <c r="L163" s="69">
        <f>IF(H163="","",A163&amp;"|"&amp;H163)</f>
        <v/>
      </c>
      <c r="M163" s="69">
        <f>IF(A163="","",IFERROR(INDEX(Bestand!$AC$14:$AC$213,MATCH(A163,Bestand!$A$14:$A$213,0)),0))</f>
        <v/>
      </c>
      <c r="N163" s="69">
        <f>IF(OR(H163="",M163&lt;&gt;1),"",C163+ROW()/100000)</f>
        <v/>
      </c>
    </row>
    <row r="164" ht="20" customHeight="1">
      <c r="A164" s="60" t="n"/>
      <c r="B164" s="65">
        <f>IF(A164="","",IFERROR(INDEX(Bestand!$B$14:$B$213,MATCH(A164,Bestand!$A$14:$A$213,0)),"ID unbekannt"))</f>
        <v/>
      </c>
      <c r="C164" s="63" t="n"/>
      <c r="D164" s="62" t="n"/>
      <c r="E164" s="60" t="n"/>
      <c r="F164" s="60" t="n"/>
      <c r="G164" s="61" t="n"/>
      <c r="H164" s="69">
        <f>IF(OR(A164="",C164=""),"",COUNTIFS($A$7:$A$1006,A164,$C$7:$C$1006,"&lt;"&amp;C164)+1)</f>
        <v/>
      </c>
      <c r="I164" s="67">
        <f>IF(H164="","",IF(H164=1,"",C164-_xlfn.MAXIFS($C$7:$C$1006,$A$7:$A$1006,A164,$C$7:$C$1006,"&lt;"&amp;C164)))</f>
        <v/>
      </c>
      <c r="J164" s="68">
        <f>IF(I164="","",I164/TpM)</f>
        <v/>
      </c>
      <c r="K164" s="69">
        <f>IF(H164="","",COUNTIFS($A$7:$A$1006,A164,$C$7:$C$1006,"&gt;0")-H164)</f>
        <v/>
      </c>
      <c r="L164" s="69">
        <f>IF(H164="","",A164&amp;"|"&amp;H164)</f>
        <v/>
      </c>
      <c r="M164" s="69">
        <f>IF(A164="","",IFERROR(INDEX(Bestand!$AC$14:$AC$213,MATCH(A164,Bestand!$A$14:$A$213,0)),0))</f>
        <v/>
      </c>
      <c r="N164" s="69">
        <f>IF(OR(H164="",M164&lt;&gt;1),"",C164+ROW()/100000)</f>
        <v/>
      </c>
    </row>
    <row r="165" ht="20" customHeight="1">
      <c r="A165" s="60" t="n"/>
      <c r="B165" s="65">
        <f>IF(A165="","",IFERROR(INDEX(Bestand!$B$14:$B$213,MATCH(A165,Bestand!$A$14:$A$213,0)),"ID unbekannt"))</f>
        <v/>
      </c>
      <c r="C165" s="63" t="n"/>
      <c r="D165" s="62" t="n"/>
      <c r="E165" s="60" t="n"/>
      <c r="F165" s="60" t="n"/>
      <c r="G165" s="61" t="n"/>
      <c r="H165" s="69">
        <f>IF(OR(A165="",C165=""),"",COUNTIFS($A$7:$A$1006,A165,$C$7:$C$1006,"&lt;"&amp;C165)+1)</f>
        <v/>
      </c>
      <c r="I165" s="67">
        <f>IF(H165="","",IF(H165=1,"",C165-_xlfn.MAXIFS($C$7:$C$1006,$A$7:$A$1006,A165,$C$7:$C$1006,"&lt;"&amp;C165)))</f>
        <v/>
      </c>
      <c r="J165" s="68">
        <f>IF(I165="","",I165/TpM)</f>
        <v/>
      </c>
      <c r="K165" s="69">
        <f>IF(H165="","",COUNTIFS($A$7:$A$1006,A165,$C$7:$C$1006,"&gt;0")-H165)</f>
        <v/>
      </c>
      <c r="L165" s="69">
        <f>IF(H165="","",A165&amp;"|"&amp;H165)</f>
        <v/>
      </c>
      <c r="M165" s="69">
        <f>IF(A165="","",IFERROR(INDEX(Bestand!$AC$14:$AC$213,MATCH(A165,Bestand!$A$14:$A$213,0)),0))</f>
        <v/>
      </c>
      <c r="N165" s="69">
        <f>IF(OR(H165="",M165&lt;&gt;1),"",C165+ROW()/100000)</f>
        <v/>
      </c>
    </row>
    <row r="166" ht="20" customHeight="1">
      <c r="A166" s="60" t="n"/>
      <c r="B166" s="65">
        <f>IF(A166="","",IFERROR(INDEX(Bestand!$B$14:$B$213,MATCH(A166,Bestand!$A$14:$A$213,0)),"ID unbekannt"))</f>
        <v/>
      </c>
      <c r="C166" s="63" t="n"/>
      <c r="D166" s="62" t="n"/>
      <c r="E166" s="60" t="n"/>
      <c r="F166" s="60" t="n"/>
      <c r="G166" s="61" t="n"/>
      <c r="H166" s="69">
        <f>IF(OR(A166="",C166=""),"",COUNTIFS($A$7:$A$1006,A166,$C$7:$C$1006,"&lt;"&amp;C166)+1)</f>
        <v/>
      </c>
      <c r="I166" s="67">
        <f>IF(H166="","",IF(H166=1,"",C166-_xlfn.MAXIFS($C$7:$C$1006,$A$7:$A$1006,A166,$C$7:$C$1006,"&lt;"&amp;C166)))</f>
        <v/>
      </c>
      <c r="J166" s="68">
        <f>IF(I166="","",I166/TpM)</f>
        <v/>
      </c>
      <c r="K166" s="69">
        <f>IF(H166="","",COUNTIFS($A$7:$A$1006,A166,$C$7:$C$1006,"&gt;0")-H166)</f>
        <v/>
      </c>
      <c r="L166" s="69">
        <f>IF(H166="","",A166&amp;"|"&amp;H166)</f>
        <v/>
      </c>
      <c r="M166" s="69">
        <f>IF(A166="","",IFERROR(INDEX(Bestand!$AC$14:$AC$213,MATCH(A166,Bestand!$A$14:$A$213,0)),0))</f>
        <v/>
      </c>
      <c r="N166" s="69">
        <f>IF(OR(H166="",M166&lt;&gt;1),"",C166+ROW()/100000)</f>
        <v/>
      </c>
    </row>
    <row r="167" ht="20" customHeight="1">
      <c r="A167" s="60" t="n"/>
      <c r="B167" s="65">
        <f>IF(A167="","",IFERROR(INDEX(Bestand!$B$14:$B$213,MATCH(A167,Bestand!$A$14:$A$213,0)),"ID unbekannt"))</f>
        <v/>
      </c>
      <c r="C167" s="63" t="n"/>
      <c r="D167" s="62" t="n"/>
      <c r="E167" s="60" t="n"/>
      <c r="F167" s="60" t="n"/>
      <c r="G167" s="61" t="n"/>
      <c r="H167" s="69">
        <f>IF(OR(A167="",C167=""),"",COUNTIFS($A$7:$A$1006,A167,$C$7:$C$1006,"&lt;"&amp;C167)+1)</f>
        <v/>
      </c>
      <c r="I167" s="67">
        <f>IF(H167="","",IF(H167=1,"",C167-_xlfn.MAXIFS($C$7:$C$1006,$A$7:$A$1006,A167,$C$7:$C$1006,"&lt;"&amp;C167)))</f>
        <v/>
      </c>
      <c r="J167" s="68">
        <f>IF(I167="","",I167/TpM)</f>
        <v/>
      </c>
      <c r="K167" s="69">
        <f>IF(H167="","",COUNTIFS($A$7:$A$1006,A167,$C$7:$C$1006,"&gt;0")-H167)</f>
        <v/>
      </c>
      <c r="L167" s="69">
        <f>IF(H167="","",A167&amp;"|"&amp;H167)</f>
        <v/>
      </c>
      <c r="M167" s="69">
        <f>IF(A167="","",IFERROR(INDEX(Bestand!$AC$14:$AC$213,MATCH(A167,Bestand!$A$14:$A$213,0)),0))</f>
        <v/>
      </c>
      <c r="N167" s="69">
        <f>IF(OR(H167="",M167&lt;&gt;1),"",C167+ROW()/100000)</f>
        <v/>
      </c>
    </row>
    <row r="168" ht="20" customHeight="1">
      <c r="A168" s="60" t="n"/>
      <c r="B168" s="65">
        <f>IF(A168="","",IFERROR(INDEX(Bestand!$B$14:$B$213,MATCH(A168,Bestand!$A$14:$A$213,0)),"ID unbekannt"))</f>
        <v/>
      </c>
      <c r="C168" s="63" t="n"/>
      <c r="D168" s="62" t="n"/>
      <c r="E168" s="60" t="n"/>
      <c r="F168" s="60" t="n"/>
      <c r="G168" s="61" t="n"/>
      <c r="H168" s="69">
        <f>IF(OR(A168="",C168=""),"",COUNTIFS($A$7:$A$1006,A168,$C$7:$C$1006,"&lt;"&amp;C168)+1)</f>
        <v/>
      </c>
      <c r="I168" s="67">
        <f>IF(H168="","",IF(H168=1,"",C168-_xlfn.MAXIFS($C$7:$C$1006,$A$7:$A$1006,A168,$C$7:$C$1006,"&lt;"&amp;C168)))</f>
        <v/>
      </c>
      <c r="J168" s="68">
        <f>IF(I168="","",I168/TpM)</f>
        <v/>
      </c>
      <c r="K168" s="69">
        <f>IF(H168="","",COUNTIFS($A$7:$A$1006,A168,$C$7:$C$1006,"&gt;0")-H168)</f>
        <v/>
      </c>
      <c r="L168" s="69">
        <f>IF(H168="","",A168&amp;"|"&amp;H168)</f>
        <v/>
      </c>
      <c r="M168" s="69">
        <f>IF(A168="","",IFERROR(INDEX(Bestand!$AC$14:$AC$213,MATCH(A168,Bestand!$A$14:$A$213,0)),0))</f>
        <v/>
      </c>
      <c r="N168" s="69">
        <f>IF(OR(H168="",M168&lt;&gt;1),"",C168+ROW()/100000)</f>
        <v/>
      </c>
    </row>
    <row r="169" ht="20" customHeight="1">
      <c r="A169" s="60" t="n"/>
      <c r="B169" s="65">
        <f>IF(A169="","",IFERROR(INDEX(Bestand!$B$14:$B$213,MATCH(A169,Bestand!$A$14:$A$213,0)),"ID unbekannt"))</f>
        <v/>
      </c>
      <c r="C169" s="63" t="n"/>
      <c r="D169" s="62" t="n"/>
      <c r="E169" s="60" t="n"/>
      <c r="F169" s="60" t="n"/>
      <c r="G169" s="61" t="n"/>
      <c r="H169" s="69">
        <f>IF(OR(A169="",C169=""),"",COUNTIFS($A$7:$A$1006,A169,$C$7:$C$1006,"&lt;"&amp;C169)+1)</f>
        <v/>
      </c>
      <c r="I169" s="67">
        <f>IF(H169="","",IF(H169=1,"",C169-_xlfn.MAXIFS($C$7:$C$1006,$A$7:$A$1006,A169,$C$7:$C$1006,"&lt;"&amp;C169)))</f>
        <v/>
      </c>
      <c r="J169" s="68">
        <f>IF(I169="","",I169/TpM)</f>
        <v/>
      </c>
      <c r="K169" s="69">
        <f>IF(H169="","",COUNTIFS($A$7:$A$1006,A169,$C$7:$C$1006,"&gt;0")-H169)</f>
        <v/>
      </c>
      <c r="L169" s="69">
        <f>IF(H169="","",A169&amp;"|"&amp;H169)</f>
        <v/>
      </c>
      <c r="M169" s="69">
        <f>IF(A169="","",IFERROR(INDEX(Bestand!$AC$14:$AC$213,MATCH(A169,Bestand!$A$14:$A$213,0)),0))</f>
        <v/>
      </c>
      <c r="N169" s="69">
        <f>IF(OR(H169="",M169&lt;&gt;1),"",C169+ROW()/100000)</f>
        <v/>
      </c>
    </row>
    <row r="170" ht="20" customHeight="1">
      <c r="A170" s="60" t="n"/>
      <c r="B170" s="65">
        <f>IF(A170="","",IFERROR(INDEX(Bestand!$B$14:$B$213,MATCH(A170,Bestand!$A$14:$A$213,0)),"ID unbekannt"))</f>
        <v/>
      </c>
      <c r="C170" s="63" t="n"/>
      <c r="D170" s="62" t="n"/>
      <c r="E170" s="60" t="n"/>
      <c r="F170" s="60" t="n"/>
      <c r="G170" s="61" t="n"/>
      <c r="H170" s="69">
        <f>IF(OR(A170="",C170=""),"",COUNTIFS($A$7:$A$1006,A170,$C$7:$C$1006,"&lt;"&amp;C170)+1)</f>
        <v/>
      </c>
      <c r="I170" s="67">
        <f>IF(H170="","",IF(H170=1,"",C170-_xlfn.MAXIFS($C$7:$C$1006,$A$7:$A$1006,A170,$C$7:$C$1006,"&lt;"&amp;C170)))</f>
        <v/>
      </c>
      <c r="J170" s="68">
        <f>IF(I170="","",I170/TpM)</f>
        <v/>
      </c>
      <c r="K170" s="69">
        <f>IF(H170="","",COUNTIFS($A$7:$A$1006,A170,$C$7:$C$1006,"&gt;0")-H170)</f>
        <v/>
      </c>
      <c r="L170" s="69">
        <f>IF(H170="","",A170&amp;"|"&amp;H170)</f>
        <v/>
      </c>
      <c r="M170" s="69">
        <f>IF(A170="","",IFERROR(INDEX(Bestand!$AC$14:$AC$213,MATCH(A170,Bestand!$A$14:$A$213,0)),0))</f>
        <v/>
      </c>
      <c r="N170" s="69">
        <f>IF(OR(H170="",M170&lt;&gt;1),"",C170+ROW()/100000)</f>
        <v/>
      </c>
    </row>
    <row r="171" ht="20" customHeight="1">
      <c r="A171" s="60" t="n"/>
      <c r="B171" s="65">
        <f>IF(A171="","",IFERROR(INDEX(Bestand!$B$14:$B$213,MATCH(A171,Bestand!$A$14:$A$213,0)),"ID unbekannt"))</f>
        <v/>
      </c>
      <c r="C171" s="63" t="n"/>
      <c r="D171" s="62" t="n"/>
      <c r="E171" s="60" t="n"/>
      <c r="F171" s="60" t="n"/>
      <c r="G171" s="61" t="n"/>
      <c r="H171" s="69">
        <f>IF(OR(A171="",C171=""),"",COUNTIFS($A$7:$A$1006,A171,$C$7:$C$1006,"&lt;"&amp;C171)+1)</f>
        <v/>
      </c>
      <c r="I171" s="67">
        <f>IF(H171="","",IF(H171=1,"",C171-_xlfn.MAXIFS($C$7:$C$1006,$A$7:$A$1006,A171,$C$7:$C$1006,"&lt;"&amp;C171)))</f>
        <v/>
      </c>
      <c r="J171" s="68">
        <f>IF(I171="","",I171/TpM)</f>
        <v/>
      </c>
      <c r="K171" s="69">
        <f>IF(H171="","",COUNTIFS($A$7:$A$1006,A171,$C$7:$C$1006,"&gt;0")-H171)</f>
        <v/>
      </c>
      <c r="L171" s="69">
        <f>IF(H171="","",A171&amp;"|"&amp;H171)</f>
        <v/>
      </c>
      <c r="M171" s="69">
        <f>IF(A171="","",IFERROR(INDEX(Bestand!$AC$14:$AC$213,MATCH(A171,Bestand!$A$14:$A$213,0)),0))</f>
        <v/>
      </c>
      <c r="N171" s="69">
        <f>IF(OR(H171="",M171&lt;&gt;1),"",C171+ROW()/100000)</f>
        <v/>
      </c>
    </row>
    <row r="172" ht="20" customHeight="1">
      <c r="A172" s="60" t="n"/>
      <c r="B172" s="65">
        <f>IF(A172="","",IFERROR(INDEX(Bestand!$B$14:$B$213,MATCH(A172,Bestand!$A$14:$A$213,0)),"ID unbekannt"))</f>
        <v/>
      </c>
      <c r="C172" s="63" t="n"/>
      <c r="D172" s="62" t="n"/>
      <c r="E172" s="60" t="n"/>
      <c r="F172" s="60" t="n"/>
      <c r="G172" s="61" t="n"/>
      <c r="H172" s="69">
        <f>IF(OR(A172="",C172=""),"",COUNTIFS($A$7:$A$1006,A172,$C$7:$C$1006,"&lt;"&amp;C172)+1)</f>
        <v/>
      </c>
      <c r="I172" s="67">
        <f>IF(H172="","",IF(H172=1,"",C172-_xlfn.MAXIFS($C$7:$C$1006,$A$7:$A$1006,A172,$C$7:$C$1006,"&lt;"&amp;C172)))</f>
        <v/>
      </c>
      <c r="J172" s="68">
        <f>IF(I172="","",I172/TpM)</f>
        <v/>
      </c>
      <c r="K172" s="69">
        <f>IF(H172="","",COUNTIFS($A$7:$A$1006,A172,$C$7:$C$1006,"&gt;0")-H172)</f>
        <v/>
      </c>
      <c r="L172" s="69">
        <f>IF(H172="","",A172&amp;"|"&amp;H172)</f>
        <v/>
      </c>
      <c r="M172" s="69">
        <f>IF(A172="","",IFERROR(INDEX(Bestand!$AC$14:$AC$213,MATCH(A172,Bestand!$A$14:$A$213,0)),0))</f>
        <v/>
      </c>
      <c r="N172" s="69">
        <f>IF(OR(H172="",M172&lt;&gt;1),"",C172+ROW()/100000)</f>
        <v/>
      </c>
    </row>
    <row r="173" ht="20" customHeight="1">
      <c r="A173" s="60" t="n"/>
      <c r="B173" s="65">
        <f>IF(A173="","",IFERROR(INDEX(Bestand!$B$14:$B$213,MATCH(A173,Bestand!$A$14:$A$213,0)),"ID unbekannt"))</f>
        <v/>
      </c>
      <c r="C173" s="63" t="n"/>
      <c r="D173" s="62" t="n"/>
      <c r="E173" s="60" t="n"/>
      <c r="F173" s="60" t="n"/>
      <c r="G173" s="61" t="n"/>
      <c r="H173" s="69">
        <f>IF(OR(A173="",C173=""),"",COUNTIFS($A$7:$A$1006,A173,$C$7:$C$1006,"&lt;"&amp;C173)+1)</f>
        <v/>
      </c>
      <c r="I173" s="67">
        <f>IF(H173="","",IF(H173=1,"",C173-_xlfn.MAXIFS($C$7:$C$1006,$A$7:$A$1006,A173,$C$7:$C$1006,"&lt;"&amp;C173)))</f>
        <v/>
      </c>
      <c r="J173" s="68">
        <f>IF(I173="","",I173/TpM)</f>
        <v/>
      </c>
      <c r="K173" s="69">
        <f>IF(H173="","",COUNTIFS($A$7:$A$1006,A173,$C$7:$C$1006,"&gt;0")-H173)</f>
        <v/>
      </c>
      <c r="L173" s="69">
        <f>IF(H173="","",A173&amp;"|"&amp;H173)</f>
        <v/>
      </c>
      <c r="M173" s="69">
        <f>IF(A173="","",IFERROR(INDEX(Bestand!$AC$14:$AC$213,MATCH(A173,Bestand!$A$14:$A$213,0)),0))</f>
        <v/>
      </c>
      <c r="N173" s="69">
        <f>IF(OR(H173="",M173&lt;&gt;1),"",C173+ROW()/100000)</f>
        <v/>
      </c>
    </row>
    <row r="174" ht="20" customHeight="1">
      <c r="A174" s="60" t="n"/>
      <c r="B174" s="65">
        <f>IF(A174="","",IFERROR(INDEX(Bestand!$B$14:$B$213,MATCH(A174,Bestand!$A$14:$A$213,0)),"ID unbekannt"))</f>
        <v/>
      </c>
      <c r="C174" s="63" t="n"/>
      <c r="D174" s="62" t="n"/>
      <c r="E174" s="60" t="n"/>
      <c r="F174" s="60" t="n"/>
      <c r="G174" s="61" t="n"/>
      <c r="H174" s="69">
        <f>IF(OR(A174="",C174=""),"",COUNTIFS($A$7:$A$1006,A174,$C$7:$C$1006,"&lt;"&amp;C174)+1)</f>
        <v/>
      </c>
      <c r="I174" s="67">
        <f>IF(H174="","",IF(H174=1,"",C174-_xlfn.MAXIFS($C$7:$C$1006,$A$7:$A$1006,A174,$C$7:$C$1006,"&lt;"&amp;C174)))</f>
        <v/>
      </c>
      <c r="J174" s="68">
        <f>IF(I174="","",I174/TpM)</f>
        <v/>
      </c>
      <c r="K174" s="69">
        <f>IF(H174="","",COUNTIFS($A$7:$A$1006,A174,$C$7:$C$1006,"&gt;0")-H174)</f>
        <v/>
      </c>
      <c r="L174" s="69">
        <f>IF(H174="","",A174&amp;"|"&amp;H174)</f>
        <v/>
      </c>
      <c r="M174" s="69">
        <f>IF(A174="","",IFERROR(INDEX(Bestand!$AC$14:$AC$213,MATCH(A174,Bestand!$A$14:$A$213,0)),0))</f>
        <v/>
      </c>
      <c r="N174" s="69">
        <f>IF(OR(H174="",M174&lt;&gt;1),"",C174+ROW()/100000)</f>
        <v/>
      </c>
    </row>
    <row r="175" ht="20" customHeight="1">
      <c r="A175" s="60" t="n"/>
      <c r="B175" s="65">
        <f>IF(A175="","",IFERROR(INDEX(Bestand!$B$14:$B$213,MATCH(A175,Bestand!$A$14:$A$213,0)),"ID unbekannt"))</f>
        <v/>
      </c>
      <c r="C175" s="63" t="n"/>
      <c r="D175" s="62" t="n"/>
      <c r="E175" s="60" t="n"/>
      <c r="F175" s="60" t="n"/>
      <c r="G175" s="61" t="n"/>
      <c r="H175" s="69">
        <f>IF(OR(A175="",C175=""),"",COUNTIFS($A$7:$A$1006,A175,$C$7:$C$1006,"&lt;"&amp;C175)+1)</f>
        <v/>
      </c>
      <c r="I175" s="67">
        <f>IF(H175="","",IF(H175=1,"",C175-_xlfn.MAXIFS($C$7:$C$1006,$A$7:$A$1006,A175,$C$7:$C$1006,"&lt;"&amp;C175)))</f>
        <v/>
      </c>
      <c r="J175" s="68">
        <f>IF(I175="","",I175/TpM)</f>
        <v/>
      </c>
      <c r="K175" s="69">
        <f>IF(H175="","",COUNTIFS($A$7:$A$1006,A175,$C$7:$C$1006,"&gt;0")-H175)</f>
        <v/>
      </c>
      <c r="L175" s="69">
        <f>IF(H175="","",A175&amp;"|"&amp;H175)</f>
        <v/>
      </c>
      <c r="M175" s="69">
        <f>IF(A175="","",IFERROR(INDEX(Bestand!$AC$14:$AC$213,MATCH(A175,Bestand!$A$14:$A$213,0)),0))</f>
        <v/>
      </c>
      <c r="N175" s="69">
        <f>IF(OR(H175="",M175&lt;&gt;1),"",C175+ROW()/100000)</f>
        <v/>
      </c>
    </row>
    <row r="176" ht="20" customHeight="1">
      <c r="A176" s="60" t="n"/>
      <c r="B176" s="65">
        <f>IF(A176="","",IFERROR(INDEX(Bestand!$B$14:$B$213,MATCH(A176,Bestand!$A$14:$A$213,0)),"ID unbekannt"))</f>
        <v/>
      </c>
      <c r="C176" s="63" t="n"/>
      <c r="D176" s="62" t="n"/>
      <c r="E176" s="60" t="n"/>
      <c r="F176" s="60" t="n"/>
      <c r="G176" s="61" t="n"/>
      <c r="H176" s="69">
        <f>IF(OR(A176="",C176=""),"",COUNTIFS($A$7:$A$1006,A176,$C$7:$C$1006,"&lt;"&amp;C176)+1)</f>
        <v/>
      </c>
      <c r="I176" s="67">
        <f>IF(H176="","",IF(H176=1,"",C176-_xlfn.MAXIFS($C$7:$C$1006,$A$7:$A$1006,A176,$C$7:$C$1006,"&lt;"&amp;C176)))</f>
        <v/>
      </c>
      <c r="J176" s="68">
        <f>IF(I176="","",I176/TpM)</f>
        <v/>
      </c>
      <c r="K176" s="69">
        <f>IF(H176="","",COUNTIFS($A$7:$A$1006,A176,$C$7:$C$1006,"&gt;0")-H176)</f>
        <v/>
      </c>
      <c r="L176" s="69">
        <f>IF(H176="","",A176&amp;"|"&amp;H176)</f>
        <v/>
      </c>
      <c r="M176" s="69">
        <f>IF(A176="","",IFERROR(INDEX(Bestand!$AC$14:$AC$213,MATCH(A176,Bestand!$A$14:$A$213,0)),0))</f>
        <v/>
      </c>
      <c r="N176" s="69">
        <f>IF(OR(H176="",M176&lt;&gt;1),"",C176+ROW()/100000)</f>
        <v/>
      </c>
    </row>
    <row r="177" ht="20" customHeight="1">
      <c r="A177" s="60" t="n"/>
      <c r="B177" s="65">
        <f>IF(A177="","",IFERROR(INDEX(Bestand!$B$14:$B$213,MATCH(A177,Bestand!$A$14:$A$213,0)),"ID unbekannt"))</f>
        <v/>
      </c>
      <c r="C177" s="63" t="n"/>
      <c r="D177" s="62" t="n"/>
      <c r="E177" s="60" t="n"/>
      <c r="F177" s="60" t="n"/>
      <c r="G177" s="61" t="n"/>
      <c r="H177" s="69">
        <f>IF(OR(A177="",C177=""),"",COUNTIFS($A$7:$A$1006,A177,$C$7:$C$1006,"&lt;"&amp;C177)+1)</f>
        <v/>
      </c>
      <c r="I177" s="67">
        <f>IF(H177="","",IF(H177=1,"",C177-_xlfn.MAXIFS($C$7:$C$1006,$A$7:$A$1006,A177,$C$7:$C$1006,"&lt;"&amp;C177)))</f>
        <v/>
      </c>
      <c r="J177" s="68">
        <f>IF(I177="","",I177/TpM)</f>
        <v/>
      </c>
      <c r="K177" s="69">
        <f>IF(H177="","",COUNTIFS($A$7:$A$1006,A177,$C$7:$C$1006,"&gt;0")-H177)</f>
        <v/>
      </c>
      <c r="L177" s="69">
        <f>IF(H177="","",A177&amp;"|"&amp;H177)</f>
        <v/>
      </c>
      <c r="M177" s="69">
        <f>IF(A177="","",IFERROR(INDEX(Bestand!$AC$14:$AC$213,MATCH(A177,Bestand!$A$14:$A$213,0)),0))</f>
        <v/>
      </c>
      <c r="N177" s="69">
        <f>IF(OR(H177="",M177&lt;&gt;1),"",C177+ROW()/100000)</f>
        <v/>
      </c>
    </row>
    <row r="178" ht="20" customHeight="1">
      <c r="A178" s="60" t="n"/>
      <c r="B178" s="65">
        <f>IF(A178="","",IFERROR(INDEX(Bestand!$B$14:$B$213,MATCH(A178,Bestand!$A$14:$A$213,0)),"ID unbekannt"))</f>
        <v/>
      </c>
      <c r="C178" s="63" t="n"/>
      <c r="D178" s="62" t="n"/>
      <c r="E178" s="60" t="n"/>
      <c r="F178" s="60" t="n"/>
      <c r="G178" s="61" t="n"/>
      <c r="H178" s="69">
        <f>IF(OR(A178="",C178=""),"",COUNTIFS($A$7:$A$1006,A178,$C$7:$C$1006,"&lt;"&amp;C178)+1)</f>
        <v/>
      </c>
      <c r="I178" s="67">
        <f>IF(H178="","",IF(H178=1,"",C178-_xlfn.MAXIFS($C$7:$C$1006,$A$7:$A$1006,A178,$C$7:$C$1006,"&lt;"&amp;C178)))</f>
        <v/>
      </c>
      <c r="J178" s="68">
        <f>IF(I178="","",I178/TpM)</f>
        <v/>
      </c>
      <c r="K178" s="69">
        <f>IF(H178="","",COUNTIFS($A$7:$A$1006,A178,$C$7:$C$1006,"&gt;0")-H178)</f>
        <v/>
      </c>
      <c r="L178" s="69">
        <f>IF(H178="","",A178&amp;"|"&amp;H178)</f>
        <v/>
      </c>
      <c r="M178" s="69">
        <f>IF(A178="","",IFERROR(INDEX(Bestand!$AC$14:$AC$213,MATCH(A178,Bestand!$A$14:$A$213,0)),0))</f>
        <v/>
      </c>
      <c r="N178" s="69">
        <f>IF(OR(H178="",M178&lt;&gt;1),"",C178+ROW()/100000)</f>
        <v/>
      </c>
    </row>
    <row r="179" ht="20" customHeight="1">
      <c r="A179" s="60" t="n"/>
      <c r="B179" s="65">
        <f>IF(A179="","",IFERROR(INDEX(Bestand!$B$14:$B$213,MATCH(A179,Bestand!$A$14:$A$213,0)),"ID unbekannt"))</f>
        <v/>
      </c>
      <c r="C179" s="63" t="n"/>
      <c r="D179" s="62" t="n"/>
      <c r="E179" s="60" t="n"/>
      <c r="F179" s="60" t="n"/>
      <c r="G179" s="61" t="n"/>
      <c r="H179" s="69">
        <f>IF(OR(A179="",C179=""),"",COUNTIFS($A$7:$A$1006,A179,$C$7:$C$1006,"&lt;"&amp;C179)+1)</f>
        <v/>
      </c>
      <c r="I179" s="67">
        <f>IF(H179="","",IF(H179=1,"",C179-_xlfn.MAXIFS($C$7:$C$1006,$A$7:$A$1006,A179,$C$7:$C$1006,"&lt;"&amp;C179)))</f>
        <v/>
      </c>
      <c r="J179" s="68">
        <f>IF(I179="","",I179/TpM)</f>
        <v/>
      </c>
      <c r="K179" s="69">
        <f>IF(H179="","",COUNTIFS($A$7:$A$1006,A179,$C$7:$C$1006,"&gt;0")-H179)</f>
        <v/>
      </c>
      <c r="L179" s="69">
        <f>IF(H179="","",A179&amp;"|"&amp;H179)</f>
        <v/>
      </c>
      <c r="M179" s="69">
        <f>IF(A179="","",IFERROR(INDEX(Bestand!$AC$14:$AC$213,MATCH(A179,Bestand!$A$14:$A$213,0)),0))</f>
        <v/>
      </c>
      <c r="N179" s="69">
        <f>IF(OR(H179="",M179&lt;&gt;1),"",C179+ROW()/100000)</f>
        <v/>
      </c>
    </row>
    <row r="180" ht="20" customHeight="1">
      <c r="A180" s="60" t="n"/>
      <c r="B180" s="65">
        <f>IF(A180="","",IFERROR(INDEX(Bestand!$B$14:$B$213,MATCH(A180,Bestand!$A$14:$A$213,0)),"ID unbekannt"))</f>
        <v/>
      </c>
      <c r="C180" s="63" t="n"/>
      <c r="D180" s="62" t="n"/>
      <c r="E180" s="60" t="n"/>
      <c r="F180" s="60" t="n"/>
      <c r="G180" s="61" t="n"/>
      <c r="H180" s="69">
        <f>IF(OR(A180="",C180=""),"",COUNTIFS($A$7:$A$1006,A180,$C$7:$C$1006,"&lt;"&amp;C180)+1)</f>
        <v/>
      </c>
      <c r="I180" s="67">
        <f>IF(H180="","",IF(H180=1,"",C180-_xlfn.MAXIFS($C$7:$C$1006,$A$7:$A$1006,A180,$C$7:$C$1006,"&lt;"&amp;C180)))</f>
        <v/>
      </c>
      <c r="J180" s="68">
        <f>IF(I180="","",I180/TpM)</f>
        <v/>
      </c>
      <c r="K180" s="69">
        <f>IF(H180="","",COUNTIFS($A$7:$A$1006,A180,$C$7:$C$1006,"&gt;0")-H180)</f>
        <v/>
      </c>
      <c r="L180" s="69">
        <f>IF(H180="","",A180&amp;"|"&amp;H180)</f>
        <v/>
      </c>
      <c r="M180" s="69">
        <f>IF(A180="","",IFERROR(INDEX(Bestand!$AC$14:$AC$213,MATCH(A180,Bestand!$A$14:$A$213,0)),0))</f>
        <v/>
      </c>
      <c r="N180" s="69">
        <f>IF(OR(H180="",M180&lt;&gt;1),"",C180+ROW()/100000)</f>
        <v/>
      </c>
    </row>
    <row r="181" ht="20" customHeight="1">
      <c r="A181" s="60" t="n"/>
      <c r="B181" s="65">
        <f>IF(A181="","",IFERROR(INDEX(Bestand!$B$14:$B$213,MATCH(A181,Bestand!$A$14:$A$213,0)),"ID unbekannt"))</f>
        <v/>
      </c>
      <c r="C181" s="63" t="n"/>
      <c r="D181" s="62" t="n"/>
      <c r="E181" s="60" t="n"/>
      <c r="F181" s="60" t="n"/>
      <c r="G181" s="61" t="n"/>
      <c r="H181" s="69">
        <f>IF(OR(A181="",C181=""),"",COUNTIFS($A$7:$A$1006,A181,$C$7:$C$1006,"&lt;"&amp;C181)+1)</f>
        <v/>
      </c>
      <c r="I181" s="67">
        <f>IF(H181="","",IF(H181=1,"",C181-_xlfn.MAXIFS($C$7:$C$1006,$A$7:$A$1006,A181,$C$7:$C$1006,"&lt;"&amp;C181)))</f>
        <v/>
      </c>
      <c r="J181" s="68">
        <f>IF(I181="","",I181/TpM)</f>
        <v/>
      </c>
      <c r="K181" s="69">
        <f>IF(H181="","",COUNTIFS($A$7:$A$1006,A181,$C$7:$C$1006,"&gt;0")-H181)</f>
        <v/>
      </c>
      <c r="L181" s="69">
        <f>IF(H181="","",A181&amp;"|"&amp;H181)</f>
        <v/>
      </c>
      <c r="M181" s="69">
        <f>IF(A181="","",IFERROR(INDEX(Bestand!$AC$14:$AC$213,MATCH(A181,Bestand!$A$14:$A$213,0)),0))</f>
        <v/>
      </c>
      <c r="N181" s="69">
        <f>IF(OR(H181="",M181&lt;&gt;1),"",C181+ROW()/100000)</f>
        <v/>
      </c>
    </row>
    <row r="182" ht="20" customHeight="1">
      <c r="A182" s="60" t="n"/>
      <c r="B182" s="65">
        <f>IF(A182="","",IFERROR(INDEX(Bestand!$B$14:$B$213,MATCH(A182,Bestand!$A$14:$A$213,0)),"ID unbekannt"))</f>
        <v/>
      </c>
      <c r="C182" s="63" t="n"/>
      <c r="D182" s="62" t="n"/>
      <c r="E182" s="60" t="n"/>
      <c r="F182" s="60" t="n"/>
      <c r="G182" s="61" t="n"/>
      <c r="H182" s="69">
        <f>IF(OR(A182="",C182=""),"",COUNTIFS($A$7:$A$1006,A182,$C$7:$C$1006,"&lt;"&amp;C182)+1)</f>
        <v/>
      </c>
      <c r="I182" s="67">
        <f>IF(H182="","",IF(H182=1,"",C182-_xlfn.MAXIFS($C$7:$C$1006,$A$7:$A$1006,A182,$C$7:$C$1006,"&lt;"&amp;C182)))</f>
        <v/>
      </c>
      <c r="J182" s="68">
        <f>IF(I182="","",I182/TpM)</f>
        <v/>
      </c>
      <c r="K182" s="69">
        <f>IF(H182="","",COUNTIFS($A$7:$A$1006,A182,$C$7:$C$1006,"&gt;0")-H182)</f>
        <v/>
      </c>
      <c r="L182" s="69">
        <f>IF(H182="","",A182&amp;"|"&amp;H182)</f>
        <v/>
      </c>
      <c r="M182" s="69">
        <f>IF(A182="","",IFERROR(INDEX(Bestand!$AC$14:$AC$213,MATCH(A182,Bestand!$A$14:$A$213,0)),0))</f>
        <v/>
      </c>
      <c r="N182" s="69">
        <f>IF(OR(H182="",M182&lt;&gt;1),"",C182+ROW()/100000)</f>
        <v/>
      </c>
    </row>
    <row r="183" ht="20" customHeight="1">
      <c r="A183" s="60" t="n"/>
      <c r="B183" s="65">
        <f>IF(A183="","",IFERROR(INDEX(Bestand!$B$14:$B$213,MATCH(A183,Bestand!$A$14:$A$213,0)),"ID unbekannt"))</f>
        <v/>
      </c>
      <c r="C183" s="63" t="n"/>
      <c r="D183" s="62" t="n"/>
      <c r="E183" s="60" t="n"/>
      <c r="F183" s="60" t="n"/>
      <c r="G183" s="61" t="n"/>
      <c r="H183" s="69">
        <f>IF(OR(A183="",C183=""),"",COUNTIFS($A$7:$A$1006,A183,$C$7:$C$1006,"&lt;"&amp;C183)+1)</f>
        <v/>
      </c>
      <c r="I183" s="67">
        <f>IF(H183="","",IF(H183=1,"",C183-_xlfn.MAXIFS($C$7:$C$1006,$A$7:$A$1006,A183,$C$7:$C$1006,"&lt;"&amp;C183)))</f>
        <v/>
      </c>
      <c r="J183" s="68">
        <f>IF(I183="","",I183/TpM)</f>
        <v/>
      </c>
      <c r="K183" s="69">
        <f>IF(H183="","",COUNTIFS($A$7:$A$1006,A183,$C$7:$C$1006,"&gt;0")-H183)</f>
        <v/>
      </c>
      <c r="L183" s="69">
        <f>IF(H183="","",A183&amp;"|"&amp;H183)</f>
        <v/>
      </c>
      <c r="M183" s="69">
        <f>IF(A183="","",IFERROR(INDEX(Bestand!$AC$14:$AC$213,MATCH(A183,Bestand!$A$14:$A$213,0)),0))</f>
        <v/>
      </c>
      <c r="N183" s="69">
        <f>IF(OR(H183="",M183&lt;&gt;1),"",C183+ROW()/100000)</f>
        <v/>
      </c>
    </row>
    <row r="184" ht="20" customHeight="1">
      <c r="A184" s="60" t="n"/>
      <c r="B184" s="65">
        <f>IF(A184="","",IFERROR(INDEX(Bestand!$B$14:$B$213,MATCH(A184,Bestand!$A$14:$A$213,0)),"ID unbekannt"))</f>
        <v/>
      </c>
      <c r="C184" s="63" t="n"/>
      <c r="D184" s="62" t="n"/>
      <c r="E184" s="60" t="n"/>
      <c r="F184" s="60" t="n"/>
      <c r="G184" s="61" t="n"/>
      <c r="H184" s="69">
        <f>IF(OR(A184="",C184=""),"",COUNTIFS($A$7:$A$1006,A184,$C$7:$C$1006,"&lt;"&amp;C184)+1)</f>
        <v/>
      </c>
      <c r="I184" s="67">
        <f>IF(H184="","",IF(H184=1,"",C184-_xlfn.MAXIFS($C$7:$C$1006,$A$7:$A$1006,A184,$C$7:$C$1006,"&lt;"&amp;C184)))</f>
        <v/>
      </c>
      <c r="J184" s="68">
        <f>IF(I184="","",I184/TpM)</f>
        <v/>
      </c>
      <c r="K184" s="69">
        <f>IF(H184="","",COUNTIFS($A$7:$A$1006,A184,$C$7:$C$1006,"&gt;0")-H184)</f>
        <v/>
      </c>
      <c r="L184" s="69">
        <f>IF(H184="","",A184&amp;"|"&amp;H184)</f>
        <v/>
      </c>
      <c r="M184" s="69">
        <f>IF(A184="","",IFERROR(INDEX(Bestand!$AC$14:$AC$213,MATCH(A184,Bestand!$A$14:$A$213,0)),0))</f>
        <v/>
      </c>
      <c r="N184" s="69">
        <f>IF(OR(H184="",M184&lt;&gt;1),"",C184+ROW()/100000)</f>
        <v/>
      </c>
    </row>
    <row r="185" ht="20" customHeight="1">
      <c r="A185" s="60" t="n"/>
      <c r="B185" s="65">
        <f>IF(A185="","",IFERROR(INDEX(Bestand!$B$14:$B$213,MATCH(A185,Bestand!$A$14:$A$213,0)),"ID unbekannt"))</f>
        <v/>
      </c>
      <c r="C185" s="63" t="n"/>
      <c r="D185" s="62" t="n"/>
      <c r="E185" s="60" t="n"/>
      <c r="F185" s="60" t="n"/>
      <c r="G185" s="61" t="n"/>
      <c r="H185" s="69">
        <f>IF(OR(A185="",C185=""),"",COUNTIFS($A$7:$A$1006,A185,$C$7:$C$1006,"&lt;"&amp;C185)+1)</f>
        <v/>
      </c>
      <c r="I185" s="67">
        <f>IF(H185="","",IF(H185=1,"",C185-_xlfn.MAXIFS($C$7:$C$1006,$A$7:$A$1006,A185,$C$7:$C$1006,"&lt;"&amp;C185)))</f>
        <v/>
      </c>
      <c r="J185" s="68">
        <f>IF(I185="","",I185/TpM)</f>
        <v/>
      </c>
      <c r="K185" s="69">
        <f>IF(H185="","",COUNTIFS($A$7:$A$1006,A185,$C$7:$C$1006,"&gt;0")-H185)</f>
        <v/>
      </c>
      <c r="L185" s="69">
        <f>IF(H185="","",A185&amp;"|"&amp;H185)</f>
        <v/>
      </c>
      <c r="M185" s="69">
        <f>IF(A185="","",IFERROR(INDEX(Bestand!$AC$14:$AC$213,MATCH(A185,Bestand!$A$14:$A$213,0)),0))</f>
        <v/>
      </c>
      <c r="N185" s="69">
        <f>IF(OR(H185="",M185&lt;&gt;1),"",C185+ROW()/100000)</f>
        <v/>
      </c>
    </row>
    <row r="186" ht="20" customHeight="1">
      <c r="A186" s="60" t="n"/>
      <c r="B186" s="65">
        <f>IF(A186="","",IFERROR(INDEX(Bestand!$B$14:$B$213,MATCH(A186,Bestand!$A$14:$A$213,0)),"ID unbekannt"))</f>
        <v/>
      </c>
      <c r="C186" s="63" t="n"/>
      <c r="D186" s="62" t="n"/>
      <c r="E186" s="60" t="n"/>
      <c r="F186" s="60" t="n"/>
      <c r="G186" s="61" t="n"/>
      <c r="H186" s="69">
        <f>IF(OR(A186="",C186=""),"",COUNTIFS($A$7:$A$1006,A186,$C$7:$C$1006,"&lt;"&amp;C186)+1)</f>
        <v/>
      </c>
      <c r="I186" s="67">
        <f>IF(H186="","",IF(H186=1,"",C186-_xlfn.MAXIFS($C$7:$C$1006,$A$7:$A$1006,A186,$C$7:$C$1006,"&lt;"&amp;C186)))</f>
        <v/>
      </c>
      <c r="J186" s="68">
        <f>IF(I186="","",I186/TpM)</f>
        <v/>
      </c>
      <c r="K186" s="69">
        <f>IF(H186="","",COUNTIFS($A$7:$A$1006,A186,$C$7:$C$1006,"&gt;0")-H186)</f>
        <v/>
      </c>
      <c r="L186" s="69">
        <f>IF(H186="","",A186&amp;"|"&amp;H186)</f>
        <v/>
      </c>
      <c r="M186" s="69">
        <f>IF(A186="","",IFERROR(INDEX(Bestand!$AC$14:$AC$213,MATCH(A186,Bestand!$A$14:$A$213,0)),0))</f>
        <v/>
      </c>
      <c r="N186" s="69">
        <f>IF(OR(H186="",M186&lt;&gt;1),"",C186+ROW()/100000)</f>
        <v/>
      </c>
    </row>
    <row r="187" ht="20" customHeight="1">
      <c r="A187" s="60" t="n"/>
      <c r="B187" s="65">
        <f>IF(A187="","",IFERROR(INDEX(Bestand!$B$14:$B$213,MATCH(A187,Bestand!$A$14:$A$213,0)),"ID unbekannt"))</f>
        <v/>
      </c>
      <c r="C187" s="63" t="n"/>
      <c r="D187" s="62" t="n"/>
      <c r="E187" s="60" t="n"/>
      <c r="F187" s="60" t="n"/>
      <c r="G187" s="61" t="n"/>
      <c r="H187" s="69">
        <f>IF(OR(A187="",C187=""),"",COUNTIFS($A$7:$A$1006,A187,$C$7:$C$1006,"&lt;"&amp;C187)+1)</f>
        <v/>
      </c>
      <c r="I187" s="67">
        <f>IF(H187="","",IF(H187=1,"",C187-_xlfn.MAXIFS($C$7:$C$1006,$A$7:$A$1006,A187,$C$7:$C$1006,"&lt;"&amp;C187)))</f>
        <v/>
      </c>
      <c r="J187" s="68">
        <f>IF(I187="","",I187/TpM)</f>
        <v/>
      </c>
      <c r="K187" s="69">
        <f>IF(H187="","",COUNTIFS($A$7:$A$1006,A187,$C$7:$C$1006,"&gt;0")-H187)</f>
        <v/>
      </c>
      <c r="L187" s="69">
        <f>IF(H187="","",A187&amp;"|"&amp;H187)</f>
        <v/>
      </c>
      <c r="M187" s="69">
        <f>IF(A187="","",IFERROR(INDEX(Bestand!$AC$14:$AC$213,MATCH(A187,Bestand!$A$14:$A$213,0)),0))</f>
        <v/>
      </c>
      <c r="N187" s="69">
        <f>IF(OR(H187="",M187&lt;&gt;1),"",C187+ROW()/100000)</f>
        <v/>
      </c>
    </row>
    <row r="188" ht="20" customHeight="1">
      <c r="A188" s="60" t="n"/>
      <c r="B188" s="65">
        <f>IF(A188="","",IFERROR(INDEX(Bestand!$B$14:$B$213,MATCH(A188,Bestand!$A$14:$A$213,0)),"ID unbekannt"))</f>
        <v/>
      </c>
      <c r="C188" s="63" t="n"/>
      <c r="D188" s="62" t="n"/>
      <c r="E188" s="60" t="n"/>
      <c r="F188" s="60" t="n"/>
      <c r="G188" s="61" t="n"/>
      <c r="H188" s="69">
        <f>IF(OR(A188="",C188=""),"",COUNTIFS($A$7:$A$1006,A188,$C$7:$C$1006,"&lt;"&amp;C188)+1)</f>
        <v/>
      </c>
      <c r="I188" s="67">
        <f>IF(H188="","",IF(H188=1,"",C188-_xlfn.MAXIFS($C$7:$C$1006,$A$7:$A$1006,A188,$C$7:$C$1006,"&lt;"&amp;C188)))</f>
        <v/>
      </c>
      <c r="J188" s="68">
        <f>IF(I188="","",I188/TpM)</f>
        <v/>
      </c>
      <c r="K188" s="69">
        <f>IF(H188="","",COUNTIFS($A$7:$A$1006,A188,$C$7:$C$1006,"&gt;0")-H188)</f>
        <v/>
      </c>
      <c r="L188" s="69">
        <f>IF(H188="","",A188&amp;"|"&amp;H188)</f>
        <v/>
      </c>
      <c r="M188" s="69">
        <f>IF(A188="","",IFERROR(INDEX(Bestand!$AC$14:$AC$213,MATCH(A188,Bestand!$A$14:$A$213,0)),0))</f>
        <v/>
      </c>
      <c r="N188" s="69">
        <f>IF(OR(H188="",M188&lt;&gt;1),"",C188+ROW()/100000)</f>
        <v/>
      </c>
    </row>
    <row r="189" ht="20" customHeight="1">
      <c r="A189" s="60" t="n"/>
      <c r="B189" s="65">
        <f>IF(A189="","",IFERROR(INDEX(Bestand!$B$14:$B$213,MATCH(A189,Bestand!$A$14:$A$213,0)),"ID unbekannt"))</f>
        <v/>
      </c>
      <c r="C189" s="63" t="n"/>
      <c r="D189" s="62" t="n"/>
      <c r="E189" s="60" t="n"/>
      <c r="F189" s="60" t="n"/>
      <c r="G189" s="61" t="n"/>
      <c r="H189" s="69">
        <f>IF(OR(A189="",C189=""),"",COUNTIFS($A$7:$A$1006,A189,$C$7:$C$1006,"&lt;"&amp;C189)+1)</f>
        <v/>
      </c>
      <c r="I189" s="67">
        <f>IF(H189="","",IF(H189=1,"",C189-_xlfn.MAXIFS($C$7:$C$1006,$A$7:$A$1006,A189,$C$7:$C$1006,"&lt;"&amp;C189)))</f>
        <v/>
      </c>
      <c r="J189" s="68">
        <f>IF(I189="","",I189/TpM)</f>
        <v/>
      </c>
      <c r="K189" s="69">
        <f>IF(H189="","",COUNTIFS($A$7:$A$1006,A189,$C$7:$C$1006,"&gt;0")-H189)</f>
        <v/>
      </c>
      <c r="L189" s="69">
        <f>IF(H189="","",A189&amp;"|"&amp;H189)</f>
        <v/>
      </c>
      <c r="M189" s="69">
        <f>IF(A189="","",IFERROR(INDEX(Bestand!$AC$14:$AC$213,MATCH(A189,Bestand!$A$14:$A$213,0)),0))</f>
        <v/>
      </c>
      <c r="N189" s="69">
        <f>IF(OR(H189="",M189&lt;&gt;1),"",C189+ROW()/100000)</f>
        <v/>
      </c>
    </row>
    <row r="190" ht="20" customHeight="1">
      <c r="A190" s="60" t="n"/>
      <c r="B190" s="65">
        <f>IF(A190="","",IFERROR(INDEX(Bestand!$B$14:$B$213,MATCH(A190,Bestand!$A$14:$A$213,0)),"ID unbekannt"))</f>
        <v/>
      </c>
      <c r="C190" s="63" t="n"/>
      <c r="D190" s="62" t="n"/>
      <c r="E190" s="60" t="n"/>
      <c r="F190" s="60" t="n"/>
      <c r="G190" s="61" t="n"/>
      <c r="H190" s="69">
        <f>IF(OR(A190="",C190=""),"",COUNTIFS($A$7:$A$1006,A190,$C$7:$C$1006,"&lt;"&amp;C190)+1)</f>
        <v/>
      </c>
      <c r="I190" s="67">
        <f>IF(H190="","",IF(H190=1,"",C190-_xlfn.MAXIFS($C$7:$C$1006,$A$7:$A$1006,A190,$C$7:$C$1006,"&lt;"&amp;C190)))</f>
        <v/>
      </c>
      <c r="J190" s="68">
        <f>IF(I190="","",I190/TpM)</f>
        <v/>
      </c>
      <c r="K190" s="69">
        <f>IF(H190="","",COUNTIFS($A$7:$A$1006,A190,$C$7:$C$1006,"&gt;0")-H190)</f>
        <v/>
      </c>
      <c r="L190" s="69">
        <f>IF(H190="","",A190&amp;"|"&amp;H190)</f>
        <v/>
      </c>
      <c r="M190" s="69">
        <f>IF(A190="","",IFERROR(INDEX(Bestand!$AC$14:$AC$213,MATCH(A190,Bestand!$A$14:$A$213,0)),0))</f>
        <v/>
      </c>
      <c r="N190" s="69">
        <f>IF(OR(H190="",M190&lt;&gt;1),"",C190+ROW()/100000)</f>
        <v/>
      </c>
    </row>
    <row r="191" ht="20" customHeight="1">
      <c r="A191" s="60" t="n"/>
      <c r="B191" s="65">
        <f>IF(A191="","",IFERROR(INDEX(Bestand!$B$14:$B$213,MATCH(A191,Bestand!$A$14:$A$213,0)),"ID unbekannt"))</f>
        <v/>
      </c>
      <c r="C191" s="63" t="n"/>
      <c r="D191" s="62" t="n"/>
      <c r="E191" s="60" t="n"/>
      <c r="F191" s="60" t="n"/>
      <c r="G191" s="61" t="n"/>
      <c r="H191" s="69">
        <f>IF(OR(A191="",C191=""),"",COUNTIFS($A$7:$A$1006,A191,$C$7:$C$1006,"&lt;"&amp;C191)+1)</f>
        <v/>
      </c>
      <c r="I191" s="67">
        <f>IF(H191="","",IF(H191=1,"",C191-_xlfn.MAXIFS($C$7:$C$1006,$A$7:$A$1006,A191,$C$7:$C$1006,"&lt;"&amp;C191)))</f>
        <v/>
      </c>
      <c r="J191" s="68">
        <f>IF(I191="","",I191/TpM)</f>
        <v/>
      </c>
      <c r="K191" s="69">
        <f>IF(H191="","",COUNTIFS($A$7:$A$1006,A191,$C$7:$C$1006,"&gt;0")-H191)</f>
        <v/>
      </c>
      <c r="L191" s="69">
        <f>IF(H191="","",A191&amp;"|"&amp;H191)</f>
        <v/>
      </c>
      <c r="M191" s="69">
        <f>IF(A191="","",IFERROR(INDEX(Bestand!$AC$14:$AC$213,MATCH(A191,Bestand!$A$14:$A$213,0)),0))</f>
        <v/>
      </c>
      <c r="N191" s="69">
        <f>IF(OR(H191="",M191&lt;&gt;1),"",C191+ROW()/100000)</f>
        <v/>
      </c>
    </row>
    <row r="192" ht="20" customHeight="1">
      <c r="A192" s="60" t="n"/>
      <c r="B192" s="65">
        <f>IF(A192="","",IFERROR(INDEX(Bestand!$B$14:$B$213,MATCH(A192,Bestand!$A$14:$A$213,0)),"ID unbekannt"))</f>
        <v/>
      </c>
      <c r="C192" s="63" t="n"/>
      <c r="D192" s="62" t="n"/>
      <c r="E192" s="60" t="n"/>
      <c r="F192" s="60" t="n"/>
      <c r="G192" s="61" t="n"/>
      <c r="H192" s="69">
        <f>IF(OR(A192="",C192=""),"",COUNTIFS($A$7:$A$1006,A192,$C$7:$C$1006,"&lt;"&amp;C192)+1)</f>
        <v/>
      </c>
      <c r="I192" s="67">
        <f>IF(H192="","",IF(H192=1,"",C192-_xlfn.MAXIFS($C$7:$C$1006,$A$7:$A$1006,A192,$C$7:$C$1006,"&lt;"&amp;C192)))</f>
        <v/>
      </c>
      <c r="J192" s="68">
        <f>IF(I192="","",I192/TpM)</f>
        <v/>
      </c>
      <c r="K192" s="69">
        <f>IF(H192="","",COUNTIFS($A$7:$A$1006,A192,$C$7:$C$1006,"&gt;0")-H192)</f>
        <v/>
      </c>
      <c r="L192" s="69">
        <f>IF(H192="","",A192&amp;"|"&amp;H192)</f>
        <v/>
      </c>
      <c r="M192" s="69">
        <f>IF(A192="","",IFERROR(INDEX(Bestand!$AC$14:$AC$213,MATCH(A192,Bestand!$A$14:$A$213,0)),0))</f>
        <v/>
      </c>
      <c r="N192" s="69">
        <f>IF(OR(H192="",M192&lt;&gt;1),"",C192+ROW()/100000)</f>
        <v/>
      </c>
    </row>
    <row r="193" ht="20" customHeight="1">
      <c r="A193" s="60" t="n"/>
      <c r="B193" s="65">
        <f>IF(A193="","",IFERROR(INDEX(Bestand!$B$14:$B$213,MATCH(A193,Bestand!$A$14:$A$213,0)),"ID unbekannt"))</f>
        <v/>
      </c>
      <c r="C193" s="63" t="n"/>
      <c r="D193" s="62" t="n"/>
      <c r="E193" s="60" t="n"/>
      <c r="F193" s="60" t="n"/>
      <c r="G193" s="61" t="n"/>
      <c r="H193" s="69">
        <f>IF(OR(A193="",C193=""),"",COUNTIFS($A$7:$A$1006,A193,$C$7:$C$1006,"&lt;"&amp;C193)+1)</f>
        <v/>
      </c>
      <c r="I193" s="67">
        <f>IF(H193="","",IF(H193=1,"",C193-_xlfn.MAXIFS($C$7:$C$1006,$A$7:$A$1006,A193,$C$7:$C$1006,"&lt;"&amp;C193)))</f>
        <v/>
      </c>
      <c r="J193" s="68">
        <f>IF(I193="","",I193/TpM)</f>
        <v/>
      </c>
      <c r="K193" s="69">
        <f>IF(H193="","",COUNTIFS($A$7:$A$1006,A193,$C$7:$C$1006,"&gt;0")-H193)</f>
        <v/>
      </c>
      <c r="L193" s="69">
        <f>IF(H193="","",A193&amp;"|"&amp;H193)</f>
        <v/>
      </c>
      <c r="M193" s="69">
        <f>IF(A193="","",IFERROR(INDEX(Bestand!$AC$14:$AC$213,MATCH(A193,Bestand!$A$14:$A$213,0)),0))</f>
        <v/>
      </c>
      <c r="N193" s="69">
        <f>IF(OR(H193="",M193&lt;&gt;1),"",C193+ROW()/100000)</f>
        <v/>
      </c>
    </row>
    <row r="194" ht="20" customHeight="1">
      <c r="A194" s="60" t="n"/>
      <c r="B194" s="65">
        <f>IF(A194="","",IFERROR(INDEX(Bestand!$B$14:$B$213,MATCH(A194,Bestand!$A$14:$A$213,0)),"ID unbekannt"))</f>
        <v/>
      </c>
      <c r="C194" s="63" t="n"/>
      <c r="D194" s="62" t="n"/>
      <c r="E194" s="60" t="n"/>
      <c r="F194" s="60" t="n"/>
      <c r="G194" s="61" t="n"/>
      <c r="H194" s="69">
        <f>IF(OR(A194="",C194=""),"",COUNTIFS($A$7:$A$1006,A194,$C$7:$C$1006,"&lt;"&amp;C194)+1)</f>
        <v/>
      </c>
      <c r="I194" s="67">
        <f>IF(H194="","",IF(H194=1,"",C194-_xlfn.MAXIFS($C$7:$C$1006,$A$7:$A$1006,A194,$C$7:$C$1006,"&lt;"&amp;C194)))</f>
        <v/>
      </c>
      <c r="J194" s="68">
        <f>IF(I194="","",I194/TpM)</f>
        <v/>
      </c>
      <c r="K194" s="69">
        <f>IF(H194="","",COUNTIFS($A$7:$A$1006,A194,$C$7:$C$1006,"&gt;0")-H194)</f>
        <v/>
      </c>
      <c r="L194" s="69">
        <f>IF(H194="","",A194&amp;"|"&amp;H194)</f>
        <v/>
      </c>
      <c r="M194" s="69">
        <f>IF(A194="","",IFERROR(INDEX(Bestand!$AC$14:$AC$213,MATCH(A194,Bestand!$A$14:$A$213,0)),0))</f>
        <v/>
      </c>
      <c r="N194" s="69">
        <f>IF(OR(H194="",M194&lt;&gt;1),"",C194+ROW()/100000)</f>
        <v/>
      </c>
    </row>
    <row r="195" ht="20" customHeight="1">
      <c r="A195" s="60" t="n"/>
      <c r="B195" s="65">
        <f>IF(A195="","",IFERROR(INDEX(Bestand!$B$14:$B$213,MATCH(A195,Bestand!$A$14:$A$213,0)),"ID unbekannt"))</f>
        <v/>
      </c>
      <c r="C195" s="63" t="n"/>
      <c r="D195" s="62" t="n"/>
      <c r="E195" s="60" t="n"/>
      <c r="F195" s="60" t="n"/>
      <c r="G195" s="61" t="n"/>
      <c r="H195" s="69">
        <f>IF(OR(A195="",C195=""),"",COUNTIFS($A$7:$A$1006,A195,$C$7:$C$1006,"&lt;"&amp;C195)+1)</f>
        <v/>
      </c>
      <c r="I195" s="67">
        <f>IF(H195="","",IF(H195=1,"",C195-_xlfn.MAXIFS($C$7:$C$1006,$A$7:$A$1006,A195,$C$7:$C$1006,"&lt;"&amp;C195)))</f>
        <v/>
      </c>
      <c r="J195" s="68">
        <f>IF(I195="","",I195/TpM)</f>
        <v/>
      </c>
      <c r="K195" s="69">
        <f>IF(H195="","",COUNTIFS($A$7:$A$1006,A195,$C$7:$C$1006,"&gt;0")-H195)</f>
        <v/>
      </c>
      <c r="L195" s="69">
        <f>IF(H195="","",A195&amp;"|"&amp;H195)</f>
        <v/>
      </c>
      <c r="M195" s="69">
        <f>IF(A195="","",IFERROR(INDEX(Bestand!$AC$14:$AC$213,MATCH(A195,Bestand!$A$14:$A$213,0)),0))</f>
        <v/>
      </c>
      <c r="N195" s="69">
        <f>IF(OR(H195="",M195&lt;&gt;1),"",C195+ROW()/100000)</f>
        <v/>
      </c>
    </row>
    <row r="196" ht="20" customHeight="1">
      <c r="A196" s="60" t="n"/>
      <c r="B196" s="65">
        <f>IF(A196="","",IFERROR(INDEX(Bestand!$B$14:$B$213,MATCH(A196,Bestand!$A$14:$A$213,0)),"ID unbekannt"))</f>
        <v/>
      </c>
      <c r="C196" s="63" t="n"/>
      <c r="D196" s="62" t="n"/>
      <c r="E196" s="60" t="n"/>
      <c r="F196" s="60" t="n"/>
      <c r="G196" s="61" t="n"/>
      <c r="H196" s="69">
        <f>IF(OR(A196="",C196=""),"",COUNTIFS($A$7:$A$1006,A196,$C$7:$C$1006,"&lt;"&amp;C196)+1)</f>
        <v/>
      </c>
      <c r="I196" s="67">
        <f>IF(H196="","",IF(H196=1,"",C196-_xlfn.MAXIFS($C$7:$C$1006,$A$7:$A$1006,A196,$C$7:$C$1006,"&lt;"&amp;C196)))</f>
        <v/>
      </c>
      <c r="J196" s="68">
        <f>IF(I196="","",I196/TpM)</f>
        <v/>
      </c>
      <c r="K196" s="69">
        <f>IF(H196="","",COUNTIFS($A$7:$A$1006,A196,$C$7:$C$1006,"&gt;0")-H196)</f>
        <v/>
      </c>
      <c r="L196" s="69">
        <f>IF(H196="","",A196&amp;"|"&amp;H196)</f>
        <v/>
      </c>
      <c r="M196" s="69">
        <f>IF(A196="","",IFERROR(INDEX(Bestand!$AC$14:$AC$213,MATCH(A196,Bestand!$A$14:$A$213,0)),0))</f>
        <v/>
      </c>
      <c r="N196" s="69">
        <f>IF(OR(H196="",M196&lt;&gt;1),"",C196+ROW()/100000)</f>
        <v/>
      </c>
    </row>
    <row r="197" ht="20" customHeight="1">
      <c r="A197" s="60" t="n"/>
      <c r="B197" s="65">
        <f>IF(A197="","",IFERROR(INDEX(Bestand!$B$14:$B$213,MATCH(A197,Bestand!$A$14:$A$213,0)),"ID unbekannt"))</f>
        <v/>
      </c>
      <c r="C197" s="63" t="n"/>
      <c r="D197" s="62" t="n"/>
      <c r="E197" s="60" t="n"/>
      <c r="F197" s="60" t="n"/>
      <c r="G197" s="61" t="n"/>
      <c r="H197" s="69">
        <f>IF(OR(A197="",C197=""),"",COUNTIFS($A$7:$A$1006,A197,$C$7:$C$1006,"&lt;"&amp;C197)+1)</f>
        <v/>
      </c>
      <c r="I197" s="67">
        <f>IF(H197="","",IF(H197=1,"",C197-_xlfn.MAXIFS($C$7:$C$1006,$A$7:$A$1006,A197,$C$7:$C$1006,"&lt;"&amp;C197)))</f>
        <v/>
      </c>
      <c r="J197" s="68">
        <f>IF(I197="","",I197/TpM)</f>
        <v/>
      </c>
      <c r="K197" s="69">
        <f>IF(H197="","",COUNTIFS($A$7:$A$1006,A197,$C$7:$C$1006,"&gt;0")-H197)</f>
        <v/>
      </c>
      <c r="L197" s="69">
        <f>IF(H197="","",A197&amp;"|"&amp;H197)</f>
        <v/>
      </c>
      <c r="M197" s="69">
        <f>IF(A197="","",IFERROR(INDEX(Bestand!$AC$14:$AC$213,MATCH(A197,Bestand!$A$14:$A$213,0)),0))</f>
        <v/>
      </c>
      <c r="N197" s="69">
        <f>IF(OR(H197="",M197&lt;&gt;1),"",C197+ROW()/100000)</f>
        <v/>
      </c>
    </row>
    <row r="198" ht="20" customHeight="1">
      <c r="A198" s="60" t="n"/>
      <c r="B198" s="65">
        <f>IF(A198="","",IFERROR(INDEX(Bestand!$B$14:$B$213,MATCH(A198,Bestand!$A$14:$A$213,0)),"ID unbekannt"))</f>
        <v/>
      </c>
      <c r="C198" s="63" t="n"/>
      <c r="D198" s="62" t="n"/>
      <c r="E198" s="60" t="n"/>
      <c r="F198" s="60" t="n"/>
      <c r="G198" s="61" t="n"/>
      <c r="H198" s="69">
        <f>IF(OR(A198="",C198=""),"",COUNTIFS($A$7:$A$1006,A198,$C$7:$C$1006,"&lt;"&amp;C198)+1)</f>
        <v/>
      </c>
      <c r="I198" s="67">
        <f>IF(H198="","",IF(H198=1,"",C198-_xlfn.MAXIFS($C$7:$C$1006,$A$7:$A$1006,A198,$C$7:$C$1006,"&lt;"&amp;C198)))</f>
        <v/>
      </c>
      <c r="J198" s="68">
        <f>IF(I198="","",I198/TpM)</f>
        <v/>
      </c>
      <c r="K198" s="69">
        <f>IF(H198="","",COUNTIFS($A$7:$A$1006,A198,$C$7:$C$1006,"&gt;0")-H198)</f>
        <v/>
      </c>
      <c r="L198" s="69">
        <f>IF(H198="","",A198&amp;"|"&amp;H198)</f>
        <v/>
      </c>
      <c r="M198" s="69">
        <f>IF(A198="","",IFERROR(INDEX(Bestand!$AC$14:$AC$213,MATCH(A198,Bestand!$A$14:$A$213,0)),0))</f>
        <v/>
      </c>
      <c r="N198" s="69">
        <f>IF(OR(H198="",M198&lt;&gt;1),"",C198+ROW()/100000)</f>
        <v/>
      </c>
    </row>
    <row r="199" ht="20" customHeight="1">
      <c r="A199" s="60" t="n"/>
      <c r="B199" s="65">
        <f>IF(A199="","",IFERROR(INDEX(Bestand!$B$14:$B$213,MATCH(A199,Bestand!$A$14:$A$213,0)),"ID unbekannt"))</f>
        <v/>
      </c>
      <c r="C199" s="63" t="n"/>
      <c r="D199" s="62" t="n"/>
      <c r="E199" s="60" t="n"/>
      <c r="F199" s="60" t="n"/>
      <c r="G199" s="61" t="n"/>
      <c r="H199" s="69">
        <f>IF(OR(A199="",C199=""),"",COUNTIFS($A$7:$A$1006,A199,$C$7:$C$1006,"&lt;"&amp;C199)+1)</f>
        <v/>
      </c>
      <c r="I199" s="67">
        <f>IF(H199="","",IF(H199=1,"",C199-_xlfn.MAXIFS($C$7:$C$1006,$A$7:$A$1006,A199,$C$7:$C$1006,"&lt;"&amp;C199)))</f>
        <v/>
      </c>
      <c r="J199" s="68">
        <f>IF(I199="","",I199/TpM)</f>
        <v/>
      </c>
      <c r="K199" s="69">
        <f>IF(H199="","",COUNTIFS($A$7:$A$1006,A199,$C$7:$C$1006,"&gt;0")-H199)</f>
        <v/>
      </c>
      <c r="L199" s="69">
        <f>IF(H199="","",A199&amp;"|"&amp;H199)</f>
        <v/>
      </c>
      <c r="M199" s="69">
        <f>IF(A199="","",IFERROR(INDEX(Bestand!$AC$14:$AC$213,MATCH(A199,Bestand!$A$14:$A$213,0)),0))</f>
        <v/>
      </c>
      <c r="N199" s="69">
        <f>IF(OR(H199="",M199&lt;&gt;1),"",C199+ROW()/100000)</f>
        <v/>
      </c>
    </row>
    <row r="200" ht="20" customHeight="1">
      <c r="A200" s="60" t="n"/>
      <c r="B200" s="65">
        <f>IF(A200="","",IFERROR(INDEX(Bestand!$B$14:$B$213,MATCH(A200,Bestand!$A$14:$A$213,0)),"ID unbekannt"))</f>
        <v/>
      </c>
      <c r="C200" s="63" t="n"/>
      <c r="D200" s="62" t="n"/>
      <c r="E200" s="60" t="n"/>
      <c r="F200" s="60" t="n"/>
      <c r="G200" s="61" t="n"/>
      <c r="H200" s="69">
        <f>IF(OR(A200="",C200=""),"",COUNTIFS($A$7:$A$1006,A200,$C$7:$C$1006,"&lt;"&amp;C200)+1)</f>
        <v/>
      </c>
      <c r="I200" s="67">
        <f>IF(H200="","",IF(H200=1,"",C200-_xlfn.MAXIFS($C$7:$C$1006,$A$7:$A$1006,A200,$C$7:$C$1006,"&lt;"&amp;C200)))</f>
        <v/>
      </c>
      <c r="J200" s="68">
        <f>IF(I200="","",I200/TpM)</f>
        <v/>
      </c>
      <c r="K200" s="69">
        <f>IF(H200="","",COUNTIFS($A$7:$A$1006,A200,$C$7:$C$1006,"&gt;0")-H200)</f>
        <v/>
      </c>
      <c r="L200" s="69">
        <f>IF(H200="","",A200&amp;"|"&amp;H200)</f>
        <v/>
      </c>
      <c r="M200" s="69">
        <f>IF(A200="","",IFERROR(INDEX(Bestand!$AC$14:$AC$213,MATCH(A200,Bestand!$A$14:$A$213,0)),0))</f>
        <v/>
      </c>
      <c r="N200" s="69">
        <f>IF(OR(H200="",M200&lt;&gt;1),"",C200+ROW()/100000)</f>
        <v/>
      </c>
    </row>
    <row r="201" ht="20" customHeight="1">
      <c r="A201" s="60" t="n"/>
      <c r="B201" s="65">
        <f>IF(A201="","",IFERROR(INDEX(Bestand!$B$14:$B$213,MATCH(A201,Bestand!$A$14:$A$213,0)),"ID unbekannt"))</f>
        <v/>
      </c>
      <c r="C201" s="63" t="n"/>
      <c r="D201" s="62" t="n"/>
      <c r="E201" s="60" t="n"/>
      <c r="F201" s="60" t="n"/>
      <c r="G201" s="61" t="n"/>
      <c r="H201" s="69">
        <f>IF(OR(A201="",C201=""),"",COUNTIFS($A$7:$A$1006,A201,$C$7:$C$1006,"&lt;"&amp;C201)+1)</f>
        <v/>
      </c>
      <c r="I201" s="67">
        <f>IF(H201="","",IF(H201=1,"",C201-_xlfn.MAXIFS($C$7:$C$1006,$A$7:$A$1006,A201,$C$7:$C$1006,"&lt;"&amp;C201)))</f>
        <v/>
      </c>
      <c r="J201" s="68">
        <f>IF(I201="","",I201/TpM)</f>
        <v/>
      </c>
      <c r="K201" s="69">
        <f>IF(H201="","",COUNTIFS($A$7:$A$1006,A201,$C$7:$C$1006,"&gt;0")-H201)</f>
        <v/>
      </c>
      <c r="L201" s="69">
        <f>IF(H201="","",A201&amp;"|"&amp;H201)</f>
        <v/>
      </c>
      <c r="M201" s="69">
        <f>IF(A201="","",IFERROR(INDEX(Bestand!$AC$14:$AC$213,MATCH(A201,Bestand!$A$14:$A$213,0)),0))</f>
        <v/>
      </c>
      <c r="N201" s="69">
        <f>IF(OR(H201="",M201&lt;&gt;1),"",C201+ROW()/100000)</f>
        <v/>
      </c>
    </row>
    <row r="202" ht="20" customHeight="1">
      <c r="A202" s="60" t="n"/>
      <c r="B202" s="65">
        <f>IF(A202="","",IFERROR(INDEX(Bestand!$B$14:$B$213,MATCH(A202,Bestand!$A$14:$A$213,0)),"ID unbekannt"))</f>
        <v/>
      </c>
      <c r="C202" s="63" t="n"/>
      <c r="D202" s="62" t="n"/>
      <c r="E202" s="60" t="n"/>
      <c r="F202" s="60" t="n"/>
      <c r="G202" s="61" t="n"/>
      <c r="H202" s="69">
        <f>IF(OR(A202="",C202=""),"",COUNTIFS($A$7:$A$1006,A202,$C$7:$C$1006,"&lt;"&amp;C202)+1)</f>
        <v/>
      </c>
      <c r="I202" s="67">
        <f>IF(H202="","",IF(H202=1,"",C202-_xlfn.MAXIFS($C$7:$C$1006,$A$7:$A$1006,A202,$C$7:$C$1006,"&lt;"&amp;C202)))</f>
        <v/>
      </c>
      <c r="J202" s="68">
        <f>IF(I202="","",I202/TpM)</f>
        <v/>
      </c>
      <c r="K202" s="69">
        <f>IF(H202="","",COUNTIFS($A$7:$A$1006,A202,$C$7:$C$1006,"&gt;0")-H202)</f>
        <v/>
      </c>
      <c r="L202" s="69">
        <f>IF(H202="","",A202&amp;"|"&amp;H202)</f>
        <v/>
      </c>
      <c r="M202" s="69">
        <f>IF(A202="","",IFERROR(INDEX(Bestand!$AC$14:$AC$213,MATCH(A202,Bestand!$A$14:$A$213,0)),0))</f>
        <v/>
      </c>
      <c r="N202" s="69">
        <f>IF(OR(H202="",M202&lt;&gt;1),"",C202+ROW()/100000)</f>
        <v/>
      </c>
    </row>
    <row r="203" ht="20" customHeight="1">
      <c r="A203" s="60" t="n"/>
      <c r="B203" s="65">
        <f>IF(A203="","",IFERROR(INDEX(Bestand!$B$14:$B$213,MATCH(A203,Bestand!$A$14:$A$213,0)),"ID unbekannt"))</f>
        <v/>
      </c>
      <c r="C203" s="63" t="n"/>
      <c r="D203" s="62" t="n"/>
      <c r="E203" s="60" t="n"/>
      <c r="F203" s="60" t="n"/>
      <c r="G203" s="61" t="n"/>
      <c r="H203" s="69">
        <f>IF(OR(A203="",C203=""),"",COUNTIFS($A$7:$A$1006,A203,$C$7:$C$1006,"&lt;"&amp;C203)+1)</f>
        <v/>
      </c>
      <c r="I203" s="67">
        <f>IF(H203="","",IF(H203=1,"",C203-_xlfn.MAXIFS($C$7:$C$1006,$A$7:$A$1006,A203,$C$7:$C$1006,"&lt;"&amp;C203)))</f>
        <v/>
      </c>
      <c r="J203" s="68">
        <f>IF(I203="","",I203/TpM)</f>
        <v/>
      </c>
      <c r="K203" s="69">
        <f>IF(H203="","",COUNTIFS($A$7:$A$1006,A203,$C$7:$C$1006,"&gt;0")-H203)</f>
        <v/>
      </c>
      <c r="L203" s="69">
        <f>IF(H203="","",A203&amp;"|"&amp;H203)</f>
        <v/>
      </c>
      <c r="M203" s="69">
        <f>IF(A203="","",IFERROR(INDEX(Bestand!$AC$14:$AC$213,MATCH(A203,Bestand!$A$14:$A$213,0)),0))</f>
        <v/>
      </c>
      <c r="N203" s="69">
        <f>IF(OR(H203="",M203&lt;&gt;1),"",C203+ROW()/100000)</f>
        <v/>
      </c>
    </row>
    <row r="204" ht="20" customHeight="1">
      <c r="A204" s="60" t="n"/>
      <c r="B204" s="65">
        <f>IF(A204="","",IFERROR(INDEX(Bestand!$B$14:$B$213,MATCH(A204,Bestand!$A$14:$A$213,0)),"ID unbekannt"))</f>
        <v/>
      </c>
      <c r="C204" s="63" t="n"/>
      <c r="D204" s="62" t="n"/>
      <c r="E204" s="60" t="n"/>
      <c r="F204" s="60" t="n"/>
      <c r="G204" s="61" t="n"/>
      <c r="H204" s="69">
        <f>IF(OR(A204="",C204=""),"",COUNTIFS($A$7:$A$1006,A204,$C$7:$C$1006,"&lt;"&amp;C204)+1)</f>
        <v/>
      </c>
      <c r="I204" s="67">
        <f>IF(H204="","",IF(H204=1,"",C204-_xlfn.MAXIFS($C$7:$C$1006,$A$7:$A$1006,A204,$C$7:$C$1006,"&lt;"&amp;C204)))</f>
        <v/>
      </c>
      <c r="J204" s="68">
        <f>IF(I204="","",I204/TpM)</f>
        <v/>
      </c>
      <c r="K204" s="69">
        <f>IF(H204="","",COUNTIFS($A$7:$A$1006,A204,$C$7:$C$1006,"&gt;0")-H204)</f>
        <v/>
      </c>
      <c r="L204" s="69">
        <f>IF(H204="","",A204&amp;"|"&amp;H204)</f>
        <v/>
      </c>
      <c r="M204" s="69">
        <f>IF(A204="","",IFERROR(INDEX(Bestand!$AC$14:$AC$213,MATCH(A204,Bestand!$A$14:$A$213,0)),0))</f>
        <v/>
      </c>
      <c r="N204" s="69">
        <f>IF(OR(H204="",M204&lt;&gt;1),"",C204+ROW()/100000)</f>
        <v/>
      </c>
    </row>
    <row r="205" ht="20" customHeight="1">
      <c r="A205" s="60" t="n"/>
      <c r="B205" s="65">
        <f>IF(A205="","",IFERROR(INDEX(Bestand!$B$14:$B$213,MATCH(A205,Bestand!$A$14:$A$213,0)),"ID unbekannt"))</f>
        <v/>
      </c>
      <c r="C205" s="63" t="n"/>
      <c r="D205" s="62" t="n"/>
      <c r="E205" s="60" t="n"/>
      <c r="F205" s="60" t="n"/>
      <c r="G205" s="61" t="n"/>
      <c r="H205" s="69">
        <f>IF(OR(A205="",C205=""),"",COUNTIFS($A$7:$A$1006,A205,$C$7:$C$1006,"&lt;"&amp;C205)+1)</f>
        <v/>
      </c>
      <c r="I205" s="67">
        <f>IF(H205="","",IF(H205=1,"",C205-_xlfn.MAXIFS($C$7:$C$1006,$A$7:$A$1006,A205,$C$7:$C$1006,"&lt;"&amp;C205)))</f>
        <v/>
      </c>
      <c r="J205" s="68">
        <f>IF(I205="","",I205/TpM)</f>
        <v/>
      </c>
      <c r="K205" s="69">
        <f>IF(H205="","",COUNTIFS($A$7:$A$1006,A205,$C$7:$C$1006,"&gt;0")-H205)</f>
        <v/>
      </c>
      <c r="L205" s="69">
        <f>IF(H205="","",A205&amp;"|"&amp;H205)</f>
        <v/>
      </c>
      <c r="M205" s="69">
        <f>IF(A205="","",IFERROR(INDEX(Bestand!$AC$14:$AC$213,MATCH(A205,Bestand!$A$14:$A$213,0)),0))</f>
        <v/>
      </c>
      <c r="N205" s="69">
        <f>IF(OR(H205="",M205&lt;&gt;1),"",C205+ROW()/100000)</f>
        <v/>
      </c>
    </row>
    <row r="206" ht="20" customHeight="1">
      <c r="A206" s="60" t="n"/>
      <c r="B206" s="65">
        <f>IF(A206="","",IFERROR(INDEX(Bestand!$B$14:$B$213,MATCH(A206,Bestand!$A$14:$A$213,0)),"ID unbekannt"))</f>
        <v/>
      </c>
      <c r="C206" s="63" t="n"/>
      <c r="D206" s="62" t="n"/>
      <c r="E206" s="60" t="n"/>
      <c r="F206" s="60" t="n"/>
      <c r="G206" s="61" t="n"/>
      <c r="H206" s="69">
        <f>IF(OR(A206="",C206=""),"",COUNTIFS($A$7:$A$1006,A206,$C$7:$C$1006,"&lt;"&amp;C206)+1)</f>
        <v/>
      </c>
      <c r="I206" s="67">
        <f>IF(H206="","",IF(H206=1,"",C206-_xlfn.MAXIFS($C$7:$C$1006,$A$7:$A$1006,A206,$C$7:$C$1006,"&lt;"&amp;C206)))</f>
        <v/>
      </c>
      <c r="J206" s="68">
        <f>IF(I206="","",I206/TpM)</f>
        <v/>
      </c>
      <c r="K206" s="69">
        <f>IF(H206="","",COUNTIFS($A$7:$A$1006,A206,$C$7:$C$1006,"&gt;0")-H206)</f>
        <v/>
      </c>
      <c r="L206" s="69">
        <f>IF(H206="","",A206&amp;"|"&amp;H206)</f>
        <v/>
      </c>
      <c r="M206" s="69">
        <f>IF(A206="","",IFERROR(INDEX(Bestand!$AC$14:$AC$213,MATCH(A206,Bestand!$A$14:$A$213,0)),0))</f>
        <v/>
      </c>
      <c r="N206" s="69">
        <f>IF(OR(H206="",M206&lt;&gt;1),"",C206+ROW()/100000)</f>
        <v/>
      </c>
    </row>
    <row r="207" ht="20" customHeight="1">
      <c r="A207" s="60" t="n"/>
      <c r="B207" s="65">
        <f>IF(A207="","",IFERROR(INDEX(Bestand!$B$14:$B$213,MATCH(A207,Bestand!$A$14:$A$213,0)),"ID unbekannt"))</f>
        <v/>
      </c>
      <c r="C207" s="63" t="n"/>
      <c r="D207" s="62" t="n"/>
      <c r="E207" s="60" t="n"/>
      <c r="F207" s="60" t="n"/>
      <c r="G207" s="61" t="n"/>
      <c r="H207" s="69">
        <f>IF(OR(A207="",C207=""),"",COUNTIFS($A$7:$A$1006,A207,$C$7:$C$1006,"&lt;"&amp;C207)+1)</f>
        <v/>
      </c>
      <c r="I207" s="67">
        <f>IF(H207="","",IF(H207=1,"",C207-_xlfn.MAXIFS($C$7:$C$1006,$A$7:$A$1006,A207,$C$7:$C$1006,"&lt;"&amp;C207)))</f>
        <v/>
      </c>
      <c r="J207" s="68">
        <f>IF(I207="","",I207/TpM)</f>
        <v/>
      </c>
      <c r="K207" s="69">
        <f>IF(H207="","",COUNTIFS($A$7:$A$1006,A207,$C$7:$C$1006,"&gt;0")-H207)</f>
        <v/>
      </c>
      <c r="L207" s="69">
        <f>IF(H207="","",A207&amp;"|"&amp;H207)</f>
        <v/>
      </c>
      <c r="M207" s="69">
        <f>IF(A207="","",IFERROR(INDEX(Bestand!$AC$14:$AC$213,MATCH(A207,Bestand!$A$14:$A$213,0)),0))</f>
        <v/>
      </c>
      <c r="N207" s="69">
        <f>IF(OR(H207="",M207&lt;&gt;1),"",C207+ROW()/100000)</f>
        <v/>
      </c>
    </row>
    <row r="208" ht="20" customHeight="1">
      <c r="A208" s="60" t="n"/>
      <c r="B208" s="65">
        <f>IF(A208="","",IFERROR(INDEX(Bestand!$B$14:$B$213,MATCH(A208,Bestand!$A$14:$A$213,0)),"ID unbekannt"))</f>
        <v/>
      </c>
      <c r="C208" s="63" t="n"/>
      <c r="D208" s="62" t="n"/>
      <c r="E208" s="60" t="n"/>
      <c r="F208" s="60" t="n"/>
      <c r="G208" s="61" t="n"/>
      <c r="H208" s="69">
        <f>IF(OR(A208="",C208=""),"",COUNTIFS($A$7:$A$1006,A208,$C$7:$C$1006,"&lt;"&amp;C208)+1)</f>
        <v/>
      </c>
      <c r="I208" s="67">
        <f>IF(H208="","",IF(H208=1,"",C208-_xlfn.MAXIFS($C$7:$C$1006,$A$7:$A$1006,A208,$C$7:$C$1006,"&lt;"&amp;C208)))</f>
        <v/>
      </c>
      <c r="J208" s="68">
        <f>IF(I208="","",I208/TpM)</f>
        <v/>
      </c>
      <c r="K208" s="69">
        <f>IF(H208="","",COUNTIFS($A$7:$A$1006,A208,$C$7:$C$1006,"&gt;0")-H208)</f>
        <v/>
      </c>
      <c r="L208" s="69">
        <f>IF(H208="","",A208&amp;"|"&amp;H208)</f>
        <v/>
      </c>
      <c r="M208" s="69">
        <f>IF(A208="","",IFERROR(INDEX(Bestand!$AC$14:$AC$213,MATCH(A208,Bestand!$A$14:$A$213,0)),0))</f>
        <v/>
      </c>
      <c r="N208" s="69">
        <f>IF(OR(H208="",M208&lt;&gt;1),"",C208+ROW()/100000)</f>
        <v/>
      </c>
    </row>
    <row r="209" ht="20" customHeight="1">
      <c r="A209" s="60" t="n"/>
      <c r="B209" s="65">
        <f>IF(A209="","",IFERROR(INDEX(Bestand!$B$14:$B$213,MATCH(A209,Bestand!$A$14:$A$213,0)),"ID unbekannt"))</f>
        <v/>
      </c>
      <c r="C209" s="63" t="n"/>
      <c r="D209" s="62" t="n"/>
      <c r="E209" s="60" t="n"/>
      <c r="F209" s="60" t="n"/>
      <c r="G209" s="61" t="n"/>
      <c r="H209" s="69">
        <f>IF(OR(A209="",C209=""),"",COUNTIFS($A$7:$A$1006,A209,$C$7:$C$1006,"&lt;"&amp;C209)+1)</f>
        <v/>
      </c>
      <c r="I209" s="67">
        <f>IF(H209="","",IF(H209=1,"",C209-_xlfn.MAXIFS($C$7:$C$1006,$A$7:$A$1006,A209,$C$7:$C$1006,"&lt;"&amp;C209)))</f>
        <v/>
      </c>
      <c r="J209" s="68">
        <f>IF(I209="","",I209/TpM)</f>
        <v/>
      </c>
      <c r="K209" s="69">
        <f>IF(H209="","",COUNTIFS($A$7:$A$1006,A209,$C$7:$C$1006,"&gt;0")-H209)</f>
        <v/>
      </c>
      <c r="L209" s="69">
        <f>IF(H209="","",A209&amp;"|"&amp;H209)</f>
        <v/>
      </c>
      <c r="M209" s="69">
        <f>IF(A209="","",IFERROR(INDEX(Bestand!$AC$14:$AC$213,MATCH(A209,Bestand!$A$14:$A$213,0)),0))</f>
        <v/>
      </c>
      <c r="N209" s="69">
        <f>IF(OR(H209="",M209&lt;&gt;1),"",C209+ROW()/100000)</f>
        <v/>
      </c>
    </row>
    <row r="210" ht="20" customHeight="1">
      <c r="A210" s="60" t="n"/>
      <c r="B210" s="65">
        <f>IF(A210="","",IFERROR(INDEX(Bestand!$B$14:$B$213,MATCH(A210,Bestand!$A$14:$A$213,0)),"ID unbekannt"))</f>
        <v/>
      </c>
      <c r="C210" s="63" t="n"/>
      <c r="D210" s="62" t="n"/>
      <c r="E210" s="60" t="n"/>
      <c r="F210" s="60" t="n"/>
      <c r="G210" s="61" t="n"/>
      <c r="H210" s="69">
        <f>IF(OR(A210="",C210=""),"",COUNTIFS($A$7:$A$1006,A210,$C$7:$C$1006,"&lt;"&amp;C210)+1)</f>
        <v/>
      </c>
      <c r="I210" s="67">
        <f>IF(H210="","",IF(H210=1,"",C210-_xlfn.MAXIFS($C$7:$C$1006,$A$7:$A$1006,A210,$C$7:$C$1006,"&lt;"&amp;C210)))</f>
        <v/>
      </c>
      <c r="J210" s="68">
        <f>IF(I210="","",I210/TpM)</f>
        <v/>
      </c>
      <c r="K210" s="69">
        <f>IF(H210="","",COUNTIFS($A$7:$A$1006,A210,$C$7:$C$1006,"&gt;0")-H210)</f>
        <v/>
      </c>
      <c r="L210" s="69">
        <f>IF(H210="","",A210&amp;"|"&amp;H210)</f>
        <v/>
      </c>
      <c r="M210" s="69">
        <f>IF(A210="","",IFERROR(INDEX(Bestand!$AC$14:$AC$213,MATCH(A210,Bestand!$A$14:$A$213,0)),0))</f>
        <v/>
      </c>
      <c r="N210" s="69">
        <f>IF(OR(H210="",M210&lt;&gt;1),"",C210+ROW()/100000)</f>
        <v/>
      </c>
    </row>
    <row r="211" ht="20" customHeight="1">
      <c r="A211" s="60" t="n"/>
      <c r="B211" s="65">
        <f>IF(A211="","",IFERROR(INDEX(Bestand!$B$14:$B$213,MATCH(A211,Bestand!$A$14:$A$213,0)),"ID unbekannt"))</f>
        <v/>
      </c>
      <c r="C211" s="63" t="n"/>
      <c r="D211" s="62" t="n"/>
      <c r="E211" s="60" t="n"/>
      <c r="F211" s="60" t="n"/>
      <c r="G211" s="61" t="n"/>
      <c r="H211" s="69">
        <f>IF(OR(A211="",C211=""),"",COUNTIFS($A$7:$A$1006,A211,$C$7:$C$1006,"&lt;"&amp;C211)+1)</f>
        <v/>
      </c>
      <c r="I211" s="67">
        <f>IF(H211="","",IF(H211=1,"",C211-_xlfn.MAXIFS($C$7:$C$1006,$A$7:$A$1006,A211,$C$7:$C$1006,"&lt;"&amp;C211)))</f>
        <v/>
      </c>
      <c r="J211" s="68">
        <f>IF(I211="","",I211/TpM)</f>
        <v/>
      </c>
      <c r="K211" s="69">
        <f>IF(H211="","",COUNTIFS($A$7:$A$1006,A211,$C$7:$C$1006,"&gt;0")-H211)</f>
        <v/>
      </c>
      <c r="L211" s="69">
        <f>IF(H211="","",A211&amp;"|"&amp;H211)</f>
        <v/>
      </c>
      <c r="M211" s="69">
        <f>IF(A211="","",IFERROR(INDEX(Bestand!$AC$14:$AC$213,MATCH(A211,Bestand!$A$14:$A$213,0)),0))</f>
        <v/>
      </c>
      <c r="N211" s="69">
        <f>IF(OR(H211="",M211&lt;&gt;1),"",C211+ROW()/100000)</f>
        <v/>
      </c>
    </row>
    <row r="212" ht="20" customHeight="1">
      <c r="A212" s="60" t="n"/>
      <c r="B212" s="65">
        <f>IF(A212="","",IFERROR(INDEX(Bestand!$B$14:$B$213,MATCH(A212,Bestand!$A$14:$A$213,0)),"ID unbekannt"))</f>
        <v/>
      </c>
      <c r="C212" s="63" t="n"/>
      <c r="D212" s="62" t="n"/>
      <c r="E212" s="60" t="n"/>
      <c r="F212" s="60" t="n"/>
      <c r="G212" s="61" t="n"/>
      <c r="H212" s="69">
        <f>IF(OR(A212="",C212=""),"",COUNTIFS($A$7:$A$1006,A212,$C$7:$C$1006,"&lt;"&amp;C212)+1)</f>
        <v/>
      </c>
      <c r="I212" s="67">
        <f>IF(H212="","",IF(H212=1,"",C212-_xlfn.MAXIFS($C$7:$C$1006,$A$7:$A$1006,A212,$C$7:$C$1006,"&lt;"&amp;C212)))</f>
        <v/>
      </c>
      <c r="J212" s="68">
        <f>IF(I212="","",I212/TpM)</f>
        <v/>
      </c>
      <c r="K212" s="69">
        <f>IF(H212="","",COUNTIFS($A$7:$A$1006,A212,$C$7:$C$1006,"&gt;0")-H212)</f>
        <v/>
      </c>
      <c r="L212" s="69">
        <f>IF(H212="","",A212&amp;"|"&amp;H212)</f>
        <v/>
      </c>
      <c r="M212" s="69">
        <f>IF(A212="","",IFERROR(INDEX(Bestand!$AC$14:$AC$213,MATCH(A212,Bestand!$A$14:$A$213,0)),0))</f>
        <v/>
      </c>
      <c r="N212" s="69">
        <f>IF(OR(H212="",M212&lt;&gt;1),"",C212+ROW()/100000)</f>
        <v/>
      </c>
    </row>
    <row r="213" ht="20" customHeight="1">
      <c r="A213" s="60" t="n"/>
      <c r="B213" s="65">
        <f>IF(A213="","",IFERROR(INDEX(Bestand!$B$14:$B$213,MATCH(A213,Bestand!$A$14:$A$213,0)),"ID unbekannt"))</f>
        <v/>
      </c>
      <c r="C213" s="63" t="n"/>
      <c r="D213" s="62" t="n"/>
      <c r="E213" s="60" t="n"/>
      <c r="F213" s="60" t="n"/>
      <c r="G213" s="61" t="n"/>
      <c r="H213" s="69">
        <f>IF(OR(A213="",C213=""),"",COUNTIFS($A$7:$A$1006,A213,$C$7:$C$1006,"&lt;"&amp;C213)+1)</f>
        <v/>
      </c>
      <c r="I213" s="67">
        <f>IF(H213="","",IF(H213=1,"",C213-_xlfn.MAXIFS($C$7:$C$1006,$A$7:$A$1006,A213,$C$7:$C$1006,"&lt;"&amp;C213)))</f>
        <v/>
      </c>
      <c r="J213" s="68">
        <f>IF(I213="","",I213/TpM)</f>
        <v/>
      </c>
      <c r="K213" s="69">
        <f>IF(H213="","",COUNTIFS($A$7:$A$1006,A213,$C$7:$C$1006,"&gt;0")-H213)</f>
        <v/>
      </c>
      <c r="L213" s="69">
        <f>IF(H213="","",A213&amp;"|"&amp;H213)</f>
        <v/>
      </c>
      <c r="M213" s="69">
        <f>IF(A213="","",IFERROR(INDEX(Bestand!$AC$14:$AC$213,MATCH(A213,Bestand!$A$14:$A$213,0)),0))</f>
        <v/>
      </c>
      <c r="N213" s="69">
        <f>IF(OR(H213="",M213&lt;&gt;1),"",C213+ROW()/100000)</f>
        <v/>
      </c>
    </row>
    <row r="214" ht="20" customHeight="1">
      <c r="A214" s="60" t="n"/>
      <c r="B214" s="65">
        <f>IF(A214="","",IFERROR(INDEX(Bestand!$B$14:$B$213,MATCH(A214,Bestand!$A$14:$A$213,0)),"ID unbekannt"))</f>
        <v/>
      </c>
      <c r="C214" s="63" t="n"/>
      <c r="D214" s="62" t="n"/>
      <c r="E214" s="60" t="n"/>
      <c r="F214" s="60" t="n"/>
      <c r="G214" s="61" t="n"/>
      <c r="H214" s="69">
        <f>IF(OR(A214="",C214=""),"",COUNTIFS($A$7:$A$1006,A214,$C$7:$C$1006,"&lt;"&amp;C214)+1)</f>
        <v/>
      </c>
      <c r="I214" s="67">
        <f>IF(H214="","",IF(H214=1,"",C214-_xlfn.MAXIFS($C$7:$C$1006,$A$7:$A$1006,A214,$C$7:$C$1006,"&lt;"&amp;C214)))</f>
        <v/>
      </c>
      <c r="J214" s="68">
        <f>IF(I214="","",I214/TpM)</f>
        <v/>
      </c>
      <c r="K214" s="69">
        <f>IF(H214="","",COUNTIFS($A$7:$A$1006,A214,$C$7:$C$1006,"&gt;0")-H214)</f>
        <v/>
      </c>
      <c r="L214" s="69">
        <f>IF(H214="","",A214&amp;"|"&amp;H214)</f>
        <v/>
      </c>
      <c r="M214" s="69">
        <f>IF(A214="","",IFERROR(INDEX(Bestand!$AC$14:$AC$213,MATCH(A214,Bestand!$A$14:$A$213,0)),0))</f>
        <v/>
      </c>
      <c r="N214" s="69">
        <f>IF(OR(H214="",M214&lt;&gt;1),"",C214+ROW()/100000)</f>
        <v/>
      </c>
    </row>
    <row r="215" ht="20" customHeight="1">
      <c r="A215" s="60" t="n"/>
      <c r="B215" s="65">
        <f>IF(A215="","",IFERROR(INDEX(Bestand!$B$14:$B$213,MATCH(A215,Bestand!$A$14:$A$213,0)),"ID unbekannt"))</f>
        <v/>
      </c>
      <c r="C215" s="63" t="n"/>
      <c r="D215" s="62" t="n"/>
      <c r="E215" s="60" t="n"/>
      <c r="F215" s="60" t="n"/>
      <c r="G215" s="61" t="n"/>
      <c r="H215" s="69">
        <f>IF(OR(A215="",C215=""),"",COUNTIFS($A$7:$A$1006,A215,$C$7:$C$1006,"&lt;"&amp;C215)+1)</f>
        <v/>
      </c>
      <c r="I215" s="67">
        <f>IF(H215="","",IF(H215=1,"",C215-_xlfn.MAXIFS($C$7:$C$1006,$A$7:$A$1006,A215,$C$7:$C$1006,"&lt;"&amp;C215)))</f>
        <v/>
      </c>
      <c r="J215" s="68">
        <f>IF(I215="","",I215/TpM)</f>
        <v/>
      </c>
      <c r="K215" s="69">
        <f>IF(H215="","",COUNTIFS($A$7:$A$1006,A215,$C$7:$C$1006,"&gt;0")-H215)</f>
        <v/>
      </c>
      <c r="L215" s="69">
        <f>IF(H215="","",A215&amp;"|"&amp;H215)</f>
        <v/>
      </c>
      <c r="M215" s="69">
        <f>IF(A215="","",IFERROR(INDEX(Bestand!$AC$14:$AC$213,MATCH(A215,Bestand!$A$14:$A$213,0)),0))</f>
        <v/>
      </c>
      <c r="N215" s="69">
        <f>IF(OR(H215="",M215&lt;&gt;1),"",C215+ROW()/100000)</f>
        <v/>
      </c>
    </row>
    <row r="216" ht="20" customHeight="1">
      <c r="A216" s="60" t="n"/>
      <c r="B216" s="65">
        <f>IF(A216="","",IFERROR(INDEX(Bestand!$B$14:$B$213,MATCH(A216,Bestand!$A$14:$A$213,0)),"ID unbekannt"))</f>
        <v/>
      </c>
      <c r="C216" s="63" t="n"/>
      <c r="D216" s="62" t="n"/>
      <c r="E216" s="60" t="n"/>
      <c r="F216" s="60" t="n"/>
      <c r="G216" s="61" t="n"/>
      <c r="H216" s="69">
        <f>IF(OR(A216="",C216=""),"",COUNTIFS($A$7:$A$1006,A216,$C$7:$C$1006,"&lt;"&amp;C216)+1)</f>
        <v/>
      </c>
      <c r="I216" s="67">
        <f>IF(H216="","",IF(H216=1,"",C216-_xlfn.MAXIFS($C$7:$C$1006,$A$7:$A$1006,A216,$C$7:$C$1006,"&lt;"&amp;C216)))</f>
        <v/>
      </c>
      <c r="J216" s="68">
        <f>IF(I216="","",I216/TpM)</f>
        <v/>
      </c>
      <c r="K216" s="69">
        <f>IF(H216="","",COUNTIFS($A$7:$A$1006,A216,$C$7:$C$1006,"&gt;0")-H216)</f>
        <v/>
      </c>
      <c r="L216" s="69">
        <f>IF(H216="","",A216&amp;"|"&amp;H216)</f>
        <v/>
      </c>
      <c r="M216" s="69">
        <f>IF(A216="","",IFERROR(INDEX(Bestand!$AC$14:$AC$213,MATCH(A216,Bestand!$A$14:$A$213,0)),0))</f>
        <v/>
      </c>
      <c r="N216" s="69">
        <f>IF(OR(H216="",M216&lt;&gt;1),"",C216+ROW()/100000)</f>
        <v/>
      </c>
    </row>
    <row r="217" ht="20" customHeight="1">
      <c r="A217" s="60" t="n"/>
      <c r="B217" s="65">
        <f>IF(A217="","",IFERROR(INDEX(Bestand!$B$14:$B$213,MATCH(A217,Bestand!$A$14:$A$213,0)),"ID unbekannt"))</f>
        <v/>
      </c>
      <c r="C217" s="63" t="n"/>
      <c r="D217" s="62" t="n"/>
      <c r="E217" s="60" t="n"/>
      <c r="F217" s="60" t="n"/>
      <c r="G217" s="61" t="n"/>
      <c r="H217" s="69">
        <f>IF(OR(A217="",C217=""),"",COUNTIFS($A$7:$A$1006,A217,$C$7:$C$1006,"&lt;"&amp;C217)+1)</f>
        <v/>
      </c>
      <c r="I217" s="67">
        <f>IF(H217="","",IF(H217=1,"",C217-_xlfn.MAXIFS($C$7:$C$1006,$A$7:$A$1006,A217,$C$7:$C$1006,"&lt;"&amp;C217)))</f>
        <v/>
      </c>
      <c r="J217" s="68">
        <f>IF(I217="","",I217/TpM)</f>
        <v/>
      </c>
      <c r="K217" s="69">
        <f>IF(H217="","",COUNTIFS($A$7:$A$1006,A217,$C$7:$C$1006,"&gt;0")-H217)</f>
        <v/>
      </c>
      <c r="L217" s="69">
        <f>IF(H217="","",A217&amp;"|"&amp;H217)</f>
        <v/>
      </c>
      <c r="M217" s="69">
        <f>IF(A217="","",IFERROR(INDEX(Bestand!$AC$14:$AC$213,MATCH(A217,Bestand!$A$14:$A$213,0)),0))</f>
        <v/>
      </c>
      <c r="N217" s="69">
        <f>IF(OR(H217="",M217&lt;&gt;1),"",C217+ROW()/100000)</f>
        <v/>
      </c>
    </row>
    <row r="218" ht="20" customHeight="1">
      <c r="A218" s="60" t="n"/>
      <c r="B218" s="65">
        <f>IF(A218="","",IFERROR(INDEX(Bestand!$B$14:$B$213,MATCH(A218,Bestand!$A$14:$A$213,0)),"ID unbekannt"))</f>
        <v/>
      </c>
      <c r="C218" s="63" t="n"/>
      <c r="D218" s="62" t="n"/>
      <c r="E218" s="60" t="n"/>
      <c r="F218" s="60" t="n"/>
      <c r="G218" s="61" t="n"/>
      <c r="H218" s="69">
        <f>IF(OR(A218="",C218=""),"",COUNTIFS($A$7:$A$1006,A218,$C$7:$C$1006,"&lt;"&amp;C218)+1)</f>
        <v/>
      </c>
      <c r="I218" s="67">
        <f>IF(H218="","",IF(H218=1,"",C218-_xlfn.MAXIFS($C$7:$C$1006,$A$7:$A$1006,A218,$C$7:$C$1006,"&lt;"&amp;C218)))</f>
        <v/>
      </c>
      <c r="J218" s="68">
        <f>IF(I218="","",I218/TpM)</f>
        <v/>
      </c>
      <c r="K218" s="69">
        <f>IF(H218="","",COUNTIFS($A$7:$A$1006,A218,$C$7:$C$1006,"&gt;0")-H218)</f>
        <v/>
      </c>
      <c r="L218" s="69">
        <f>IF(H218="","",A218&amp;"|"&amp;H218)</f>
        <v/>
      </c>
      <c r="M218" s="69">
        <f>IF(A218="","",IFERROR(INDEX(Bestand!$AC$14:$AC$213,MATCH(A218,Bestand!$A$14:$A$213,0)),0))</f>
        <v/>
      </c>
      <c r="N218" s="69">
        <f>IF(OR(H218="",M218&lt;&gt;1),"",C218+ROW()/100000)</f>
        <v/>
      </c>
    </row>
    <row r="219" ht="20" customHeight="1">
      <c r="A219" s="60" t="n"/>
      <c r="B219" s="65">
        <f>IF(A219="","",IFERROR(INDEX(Bestand!$B$14:$B$213,MATCH(A219,Bestand!$A$14:$A$213,0)),"ID unbekannt"))</f>
        <v/>
      </c>
      <c r="C219" s="63" t="n"/>
      <c r="D219" s="62" t="n"/>
      <c r="E219" s="60" t="n"/>
      <c r="F219" s="60" t="n"/>
      <c r="G219" s="61" t="n"/>
      <c r="H219" s="69">
        <f>IF(OR(A219="",C219=""),"",COUNTIFS($A$7:$A$1006,A219,$C$7:$C$1006,"&lt;"&amp;C219)+1)</f>
        <v/>
      </c>
      <c r="I219" s="67">
        <f>IF(H219="","",IF(H219=1,"",C219-_xlfn.MAXIFS($C$7:$C$1006,$A$7:$A$1006,A219,$C$7:$C$1006,"&lt;"&amp;C219)))</f>
        <v/>
      </c>
      <c r="J219" s="68">
        <f>IF(I219="","",I219/TpM)</f>
        <v/>
      </c>
      <c r="K219" s="69">
        <f>IF(H219="","",COUNTIFS($A$7:$A$1006,A219,$C$7:$C$1006,"&gt;0")-H219)</f>
        <v/>
      </c>
      <c r="L219" s="69">
        <f>IF(H219="","",A219&amp;"|"&amp;H219)</f>
        <v/>
      </c>
      <c r="M219" s="69">
        <f>IF(A219="","",IFERROR(INDEX(Bestand!$AC$14:$AC$213,MATCH(A219,Bestand!$A$14:$A$213,0)),0))</f>
        <v/>
      </c>
      <c r="N219" s="69">
        <f>IF(OR(H219="",M219&lt;&gt;1),"",C219+ROW()/100000)</f>
        <v/>
      </c>
    </row>
    <row r="220" ht="20" customHeight="1">
      <c r="A220" s="60" t="n"/>
      <c r="B220" s="65">
        <f>IF(A220="","",IFERROR(INDEX(Bestand!$B$14:$B$213,MATCH(A220,Bestand!$A$14:$A$213,0)),"ID unbekannt"))</f>
        <v/>
      </c>
      <c r="C220" s="63" t="n"/>
      <c r="D220" s="62" t="n"/>
      <c r="E220" s="60" t="n"/>
      <c r="F220" s="60" t="n"/>
      <c r="G220" s="61" t="n"/>
      <c r="H220" s="69">
        <f>IF(OR(A220="",C220=""),"",COUNTIFS($A$7:$A$1006,A220,$C$7:$C$1006,"&lt;"&amp;C220)+1)</f>
        <v/>
      </c>
      <c r="I220" s="67">
        <f>IF(H220="","",IF(H220=1,"",C220-_xlfn.MAXIFS($C$7:$C$1006,$A$7:$A$1006,A220,$C$7:$C$1006,"&lt;"&amp;C220)))</f>
        <v/>
      </c>
      <c r="J220" s="68">
        <f>IF(I220="","",I220/TpM)</f>
        <v/>
      </c>
      <c r="K220" s="69">
        <f>IF(H220="","",COUNTIFS($A$7:$A$1006,A220,$C$7:$C$1006,"&gt;0")-H220)</f>
        <v/>
      </c>
      <c r="L220" s="69">
        <f>IF(H220="","",A220&amp;"|"&amp;H220)</f>
        <v/>
      </c>
      <c r="M220" s="69">
        <f>IF(A220="","",IFERROR(INDEX(Bestand!$AC$14:$AC$213,MATCH(A220,Bestand!$A$14:$A$213,0)),0))</f>
        <v/>
      </c>
      <c r="N220" s="69">
        <f>IF(OR(H220="",M220&lt;&gt;1),"",C220+ROW()/100000)</f>
        <v/>
      </c>
    </row>
    <row r="221" ht="20" customHeight="1">
      <c r="A221" s="60" t="n"/>
      <c r="B221" s="65">
        <f>IF(A221="","",IFERROR(INDEX(Bestand!$B$14:$B$213,MATCH(A221,Bestand!$A$14:$A$213,0)),"ID unbekannt"))</f>
        <v/>
      </c>
      <c r="C221" s="63" t="n"/>
      <c r="D221" s="62" t="n"/>
      <c r="E221" s="60" t="n"/>
      <c r="F221" s="60" t="n"/>
      <c r="G221" s="61" t="n"/>
      <c r="H221" s="69">
        <f>IF(OR(A221="",C221=""),"",COUNTIFS($A$7:$A$1006,A221,$C$7:$C$1006,"&lt;"&amp;C221)+1)</f>
        <v/>
      </c>
      <c r="I221" s="67">
        <f>IF(H221="","",IF(H221=1,"",C221-_xlfn.MAXIFS($C$7:$C$1006,$A$7:$A$1006,A221,$C$7:$C$1006,"&lt;"&amp;C221)))</f>
        <v/>
      </c>
      <c r="J221" s="68">
        <f>IF(I221="","",I221/TpM)</f>
        <v/>
      </c>
      <c r="K221" s="69">
        <f>IF(H221="","",COUNTIFS($A$7:$A$1006,A221,$C$7:$C$1006,"&gt;0")-H221)</f>
        <v/>
      </c>
      <c r="L221" s="69">
        <f>IF(H221="","",A221&amp;"|"&amp;H221)</f>
        <v/>
      </c>
      <c r="M221" s="69">
        <f>IF(A221="","",IFERROR(INDEX(Bestand!$AC$14:$AC$213,MATCH(A221,Bestand!$A$14:$A$213,0)),0))</f>
        <v/>
      </c>
      <c r="N221" s="69">
        <f>IF(OR(H221="",M221&lt;&gt;1),"",C221+ROW()/100000)</f>
        <v/>
      </c>
    </row>
    <row r="222" ht="20" customHeight="1">
      <c r="A222" s="60" t="n"/>
      <c r="B222" s="65">
        <f>IF(A222="","",IFERROR(INDEX(Bestand!$B$14:$B$213,MATCH(A222,Bestand!$A$14:$A$213,0)),"ID unbekannt"))</f>
        <v/>
      </c>
      <c r="C222" s="63" t="n"/>
      <c r="D222" s="62" t="n"/>
      <c r="E222" s="60" t="n"/>
      <c r="F222" s="60" t="n"/>
      <c r="G222" s="61" t="n"/>
      <c r="H222" s="69">
        <f>IF(OR(A222="",C222=""),"",COUNTIFS($A$7:$A$1006,A222,$C$7:$C$1006,"&lt;"&amp;C222)+1)</f>
        <v/>
      </c>
      <c r="I222" s="67">
        <f>IF(H222="","",IF(H222=1,"",C222-_xlfn.MAXIFS($C$7:$C$1006,$A$7:$A$1006,A222,$C$7:$C$1006,"&lt;"&amp;C222)))</f>
        <v/>
      </c>
      <c r="J222" s="68">
        <f>IF(I222="","",I222/TpM)</f>
        <v/>
      </c>
      <c r="K222" s="69">
        <f>IF(H222="","",COUNTIFS($A$7:$A$1006,A222,$C$7:$C$1006,"&gt;0")-H222)</f>
        <v/>
      </c>
      <c r="L222" s="69">
        <f>IF(H222="","",A222&amp;"|"&amp;H222)</f>
        <v/>
      </c>
      <c r="M222" s="69">
        <f>IF(A222="","",IFERROR(INDEX(Bestand!$AC$14:$AC$213,MATCH(A222,Bestand!$A$14:$A$213,0)),0))</f>
        <v/>
      </c>
      <c r="N222" s="69">
        <f>IF(OR(H222="",M222&lt;&gt;1),"",C222+ROW()/100000)</f>
        <v/>
      </c>
    </row>
    <row r="223" ht="20" customHeight="1">
      <c r="A223" s="60" t="n"/>
      <c r="B223" s="65">
        <f>IF(A223="","",IFERROR(INDEX(Bestand!$B$14:$B$213,MATCH(A223,Bestand!$A$14:$A$213,0)),"ID unbekannt"))</f>
        <v/>
      </c>
      <c r="C223" s="63" t="n"/>
      <c r="D223" s="62" t="n"/>
      <c r="E223" s="60" t="n"/>
      <c r="F223" s="60" t="n"/>
      <c r="G223" s="61" t="n"/>
      <c r="H223" s="69">
        <f>IF(OR(A223="",C223=""),"",COUNTIFS($A$7:$A$1006,A223,$C$7:$C$1006,"&lt;"&amp;C223)+1)</f>
        <v/>
      </c>
      <c r="I223" s="67">
        <f>IF(H223="","",IF(H223=1,"",C223-_xlfn.MAXIFS($C$7:$C$1006,$A$7:$A$1006,A223,$C$7:$C$1006,"&lt;"&amp;C223)))</f>
        <v/>
      </c>
      <c r="J223" s="68">
        <f>IF(I223="","",I223/TpM)</f>
        <v/>
      </c>
      <c r="K223" s="69">
        <f>IF(H223="","",COUNTIFS($A$7:$A$1006,A223,$C$7:$C$1006,"&gt;0")-H223)</f>
        <v/>
      </c>
      <c r="L223" s="69">
        <f>IF(H223="","",A223&amp;"|"&amp;H223)</f>
        <v/>
      </c>
      <c r="M223" s="69">
        <f>IF(A223="","",IFERROR(INDEX(Bestand!$AC$14:$AC$213,MATCH(A223,Bestand!$A$14:$A$213,0)),0))</f>
        <v/>
      </c>
      <c r="N223" s="69">
        <f>IF(OR(H223="",M223&lt;&gt;1),"",C223+ROW()/100000)</f>
        <v/>
      </c>
    </row>
    <row r="224" ht="20" customHeight="1">
      <c r="A224" s="60" t="n"/>
      <c r="B224" s="65">
        <f>IF(A224="","",IFERROR(INDEX(Bestand!$B$14:$B$213,MATCH(A224,Bestand!$A$14:$A$213,0)),"ID unbekannt"))</f>
        <v/>
      </c>
      <c r="C224" s="63" t="n"/>
      <c r="D224" s="62" t="n"/>
      <c r="E224" s="60" t="n"/>
      <c r="F224" s="60" t="n"/>
      <c r="G224" s="61" t="n"/>
      <c r="H224" s="69">
        <f>IF(OR(A224="",C224=""),"",COUNTIFS($A$7:$A$1006,A224,$C$7:$C$1006,"&lt;"&amp;C224)+1)</f>
        <v/>
      </c>
      <c r="I224" s="67">
        <f>IF(H224="","",IF(H224=1,"",C224-_xlfn.MAXIFS($C$7:$C$1006,$A$7:$A$1006,A224,$C$7:$C$1006,"&lt;"&amp;C224)))</f>
        <v/>
      </c>
      <c r="J224" s="68">
        <f>IF(I224="","",I224/TpM)</f>
        <v/>
      </c>
      <c r="K224" s="69">
        <f>IF(H224="","",COUNTIFS($A$7:$A$1006,A224,$C$7:$C$1006,"&gt;0")-H224)</f>
        <v/>
      </c>
      <c r="L224" s="69">
        <f>IF(H224="","",A224&amp;"|"&amp;H224)</f>
        <v/>
      </c>
      <c r="M224" s="69">
        <f>IF(A224="","",IFERROR(INDEX(Bestand!$AC$14:$AC$213,MATCH(A224,Bestand!$A$14:$A$213,0)),0))</f>
        <v/>
      </c>
      <c r="N224" s="69">
        <f>IF(OR(H224="",M224&lt;&gt;1),"",C224+ROW()/100000)</f>
        <v/>
      </c>
    </row>
    <row r="225" ht="20" customHeight="1">
      <c r="A225" s="60" t="n"/>
      <c r="B225" s="65">
        <f>IF(A225="","",IFERROR(INDEX(Bestand!$B$14:$B$213,MATCH(A225,Bestand!$A$14:$A$213,0)),"ID unbekannt"))</f>
        <v/>
      </c>
      <c r="C225" s="63" t="n"/>
      <c r="D225" s="62" t="n"/>
      <c r="E225" s="60" t="n"/>
      <c r="F225" s="60" t="n"/>
      <c r="G225" s="61" t="n"/>
      <c r="H225" s="69">
        <f>IF(OR(A225="",C225=""),"",COUNTIFS($A$7:$A$1006,A225,$C$7:$C$1006,"&lt;"&amp;C225)+1)</f>
        <v/>
      </c>
      <c r="I225" s="67">
        <f>IF(H225="","",IF(H225=1,"",C225-_xlfn.MAXIFS($C$7:$C$1006,$A$7:$A$1006,A225,$C$7:$C$1006,"&lt;"&amp;C225)))</f>
        <v/>
      </c>
      <c r="J225" s="68">
        <f>IF(I225="","",I225/TpM)</f>
        <v/>
      </c>
      <c r="K225" s="69">
        <f>IF(H225="","",COUNTIFS($A$7:$A$1006,A225,$C$7:$C$1006,"&gt;0")-H225)</f>
        <v/>
      </c>
      <c r="L225" s="69">
        <f>IF(H225="","",A225&amp;"|"&amp;H225)</f>
        <v/>
      </c>
      <c r="M225" s="69">
        <f>IF(A225="","",IFERROR(INDEX(Bestand!$AC$14:$AC$213,MATCH(A225,Bestand!$A$14:$A$213,0)),0))</f>
        <v/>
      </c>
      <c r="N225" s="69">
        <f>IF(OR(H225="",M225&lt;&gt;1),"",C225+ROW()/100000)</f>
        <v/>
      </c>
    </row>
    <row r="226" ht="20" customHeight="1">
      <c r="A226" s="60" t="n"/>
      <c r="B226" s="65">
        <f>IF(A226="","",IFERROR(INDEX(Bestand!$B$14:$B$213,MATCH(A226,Bestand!$A$14:$A$213,0)),"ID unbekannt"))</f>
        <v/>
      </c>
      <c r="C226" s="63" t="n"/>
      <c r="D226" s="62" t="n"/>
      <c r="E226" s="60" t="n"/>
      <c r="F226" s="60" t="n"/>
      <c r="G226" s="61" t="n"/>
      <c r="H226" s="69">
        <f>IF(OR(A226="",C226=""),"",COUNTIFS($A$7:$A$1006,A226,$C$7:$C$1006,"&lt;"&amp;C226)+1)</f>
        <v/>
      </c>
      <c r="I226" s="67">
        <f>IF(H226="","",IF(H226=1,"",C226-_xlfn.MAXIFS($C$7:$C$1006,$A$7:$A$1006,A226,$C$7:$C$1006,"&lt;"&amp;C226)))</f>
        <v/>
      </c>
      <c r="J226" s="68">
        <f>IF(I226="","",I226/TpM)</f>
        <v/>
      </c>
      <c r="K226" s="69">
        <f>IF(H226="","",COUNTIFS($A$7:$A$1006,A226,$C$7:$C$1006,"&gt;0")-H226)</f>
        <v/>
      </c>
      <c r="L226" s="69">
        <f>IF(H226="","",A226&amp;"|"&amp;H226)</f>
        <v/>
      </c>
      <c r="M226" s="69">
        <f>IF(A226="","",IFERROR(INDEX(Bestand!$AC$14:$AC$213,MATCH(A226,Bestand!$A$14:$A$213,0)),0))</f>
        <v/>
      </c>
      <c r="N226" s="69">
        <f>IF(OR(H226="",M226&lt;&gt;1),"",C226+ROW()/100000)</f>
        <v/>
      </c>
    </row>
    <row r="227" ht="20" customHeight="1">
      <c r="A227" s="60" t="n"/>
      <c r="B227" s="65">
        <f>IF(A227="","",IFERROR(INDEX(Bestand!$B$14:$B$213,MATCH(A227,Bestand!$A$14:$A$213,0)),"ID unbekannt"))</f>
        <v/>
      </c>
      <c r="C227" s="63" t="n"/>
      <c r="D227" s="62" t="n"/>
      <c r="E227" s="60" t="n"/>
      <c r="F227" s="60" t="n"/>
      <c r="G227" s="61" t="n"/>
      <c r="H227" s="69">
        <f>IF(OR(A227="",C227=""),"",COUNTIFS($A$7:$A$1006,A227,$C$7:$C$1006,"&lt;"&amp;C227)+1)</f>
        <v/>
      </c>
      <c r="I227" s="67">
        <f>IF(H227="","",IF(H227=1,"",C227-_xlfn.MAXIFS($C$7:$C$1006,$A$7:$A$1006,A227,$C$7:$C$1006,"&lt;"&amp;C227)))</f>
        <v/>
      </c>
      <c r="J227" s="68">
        <f>IF(I227="","",I227/TpM)</f>
        <v/>
      </c>
      <c r="K227" s="69">
        <f>IF(H227="","",COUNTIFS($A$7:$A$1006,A227,$C$7:$C$1006,"&gt;0")-H227)</f>
        <v/>
      </c>
      <c r="L227" s="69">
        <f>IF(H227="","",A227&amp;"|"&amp;H227)</f>
        <v/>
      </c>
      <c r="M227" s="69">
        <f>IF(A227="","",IFERROR(INDEX(Bestand!$AC$14:$AC$213,MATCH(A227,Bestand!$A$14:$A$213,0)),0))</f>
        <v/>
      </c>
      <c r="N227" s="69">
        <f>IF(OR(H227="",M227&lt;&gt;1),"",C227+ROW()/100000)</f>
        <v/>
      </c>
    </row>
    <row r="228" ht="20" customHeight="1">
      <c r="A228" s="60" t="n"/>
      <c r="B228" s="65">
        <f>IF(A228="","",IFERROR(INDEX(Bestand!$B$14:$B$213,MATCH(A228,Bestand!$A$14:$A$213,0)),"ID unbekannt"))</f>
        <v/>
      </c>
      <c r="C228" s="63" t="n"/>
      <c r="D228" s="62" t="n"/>
      <c r="E228" s="60" t="n"/>
      <c r="F228" s="60" t="n"/>
      <c r="G228" s="61" t="n"/>
      <c r="H228" s="69">
        <f>IF(OR(A228="",C228=""),"",COUNTIFS($A$7:$A$1006,A228,$C$7:$C$1006,"&lt;"&amp;C228)+1)</f>
        <v/>
      </c>
      <c r="I228" s="67">
        <f>IF(H228="","",IF(H228=1,"",C228-_xlfn.MAXIFS($C$7:$C$1006,$A$7:$A$1006,A228,$C$7:$C$1006,"&lt;"&amp;C228)))</f>
        <v/>
      </c>
      <c r="J228" s="68">
        <f>IF(I228="","",I228/TpM)</f>
        <v/>
      </c>
      <c r="K228" s="69">
        <f>IF(H228="","",COUNTIFS($A$7:$A$1006,A228,$C$7:$C$1006,"&gt;0")-H228)</f>
        <v/>
      </c>
      <c r="L228" s="69">
        <f>IF(H228="","",A228&amp;"|"&amp;H228)</f>
        <v/>
      </c>
      <c r="M228" s="69">
        <f>IF(A228="","",IFERROR(INDEX(Bestand!$AC$14:$AC$213,MATCH(A228,Bestand!$A$14:$A$213,0)),0))</f>
        <v/>
      </c>
      <c r="N228" s="69">
        <f>IF(OR(H228="",M228&lt;&gt;1),"",C228+ROW()/100000)</f>
        <v/>
      </c>
    </row>
    <row r="229" ht="20" customHeight="1">
      <c r="A229" s="60" t="n"/>
      <c r="B229" s="65">
        <f>IF(A229="","",IFERROR(INDEX(Bestand!$B$14:$B$213,MATCH(A229,Bestand!$A$14:$A$213,0)),"ID unbekannt"))</f>
        <v/>
      </c>
      <c r="C229" s="63" t="n"/>
      <c r="D229" s="62" t="n"/>
      <c r="E229" s="60" t="n"/>
      <c r="F229" s="60" t="n"/>
      <c r="G229" s="61" t="n"/>
      <c r="H229" s="69">
        <f>IF(OR(A229="",C229=""),"",COUNTIFS($A$7:$A$1006,A229,$C$7:$C$1006,"&lt;"&amp;C229)+1)</f>
        <v/>
      </c>
      <c r="I229" s="67">
        <f>IF(H229="","",IF(H229=1,"",C229-_xlfn.MAXIFS($C$7:$C$1006,$A$7:$A$1006,A229,$C$7:$C$1006,"&lt;"&amp;C229)))</f>
        <v/>
      </c>
      <c r="J229" s="68">
        <f>IF(I229="","",I229/TpM)</f>
        <v/>
      </c>
      <c r="K229" s="69">
        <f>IF(H229="","",COUNTIFS($A$7:$A$1006,A229,$C$7:$C$1006,"&gt;0")-H229)</f>
        <v/>
      </c>
      <c r="L229" s="69">
        <f>IF(H229="","",A229&amp;"|"&amp;H229)</f>
        <v/>
      </c>
      <c r="M229" s="69">
        <f>IF(A229="","",IFERROR(INDEX(Bestand!$AC$14:$AC$213,MATCH(A229,Bestand!$A$14:$A$213,0)),0))</f>
        <v/>
      </c>
      <c r="N229" s="69">
        <f>IF(OR(H229="",M229&lt;&gt;1),"",C229+ROW()/100000)</f>
        <v/>
      </c>
    </row>
    <row r="230" ht="20" customHeight="1">
      <c r="A230" s="60" t="n"/>
      <c r="B230" s="65">
        <f>IF(A230="","",IFERROR(INDEX(Bestand!$B$14:$B$213,MATCH(A230,Bestand!$A$14:$A$213,0)),"ID unbekannt"))</f>
        <v/>
      </c>
      <c r="C230" s="63" t="n"/>
      <c r="D230" s="62" t="n"/>
      <c r="E230" s="60" t="n"/>
      <c r="F230" s="60" t="n"/>
      <c r="G230" s="61" t="n"/>
      <c r="H230" s="69">
        <f>IF(OR(A230="",C230=""),"",COUNTIFS($A$7:$A$1006,A230,$C$7:$C$1006,"&lt;"&amp;C230)+1)</f>
        <v/>
      </c>
      <c r="I230" s="67">
        <f>IF(H230="","",IF(H230=1,"",C230-_xlfn.MAXIFS($C$7:$C$1006,$A$7:$A$1006,A230,$C$7:$C$1006,"&lt;"&amp;C230)))</f>
        <v/>
      </c>
      <c r="J230" s="68">
        <f>IF(I230="","",I230/TpM)</f>
        <v/>
      </c>
      <c r="K230" s="69">
        <f>IF(H230="","",COUNTIFS($A$7:$A$1006,A230,$C$7:$C$1006,"&gt;0")-H230)</f>
        <v/>
      </c>
      <c r="L230" s="69">
        <f>IF(H230="","",A230&amp;"|"&amp;H230)</f>
        <v/>
      </c>
      <c r="M230" s="69">
        <f>IF(A230="","",IFERROR(INDEX(Bestand!$AC$14:$AC$213,MATCH(A230,Bestand!$A$14:$A$213,0)),0))</f>
        <v/>
      </c>
      <c r="N230" s="69">
        <f>IF(OR(H230="",M230&lt;&gt;1),"",C230+ROW()/100000)</f>
        <v/>
      </c>
    </row>
    <row r="231" ht="20" customHeight="1">
      <c r="A231" s="60" t="n"/>
      <c r="B231" s="65">
        <f>IF(A231="","",IFERROR(INDEX(Bestand!$B$14:$B$213,MATCH(A231,Bestand!$A$14:$A$213,0)),"ID unbekannt"))</f>
        <v/>
      </c>
      <c r="C231" s="63" t="n"/>
      <c r="D231" s="62" t="n"/>
      <c r="E231" s="60" t="n"/>
      <c r="F231" s="60" t="n"/>
      <c r="G231" s="61" t="n"/>
      <c r="H231" s="69">
        <f>IF(OR(A231="",C231=""),"",COUNTIFS($A$7:$A$1006,A231,$C$7:$C$1006,"&lt;"&amp;C231)+1)</f>
        <v/>
      </c>
      <c r="I231" s="67">
        <f>IF(H231="","",IF(H231=1,"",C231-_xlfn.MAXIFS($C$7:$C$1006,$A$7:$A$1006,A231,$C$7:$C$1006,"&lt;"&amp;C231)))</f>
        <v/>
      </c>
      <c r="J231" s="68">
        <f>IF(I231="","",I231/TpM)</f>
        <v/>
      </c>
      <c r="K231" s="69">
        <f>IF(H231="","",COUNTIFS($A$7:$A$1006,A231,$C$7:$C$1006,"&gt;0")-H231)</f>
        <v/>
      </c>
      <c r="L231" s="69">
        <f>IF(H231="","",A231&amp;"|"&amp;H231)</f>
        <v/>
      </c>
      <c r="M231" s="69">
        <f>IF(A231="","",IFERROR(INDEX(Bestand!$AC$14:$AC$213,MATCH(A231,Bestand!$A$14:$A$213,0)),0))</f>
        <v/>
      </c>
      <c r="N231" s="69">
        <f>IF(OR(H231="",M231&lt;&gt;1),"",C231+ROW()/100000)</f>
        <v/>
      </c>
    </row>
    <row r="232" ht="20" customHeight="1">
      <c r="A232" s="60" t="n"/>
      <c r="B232" s="65">
        <f>IF(A232="","",IFERROR(INDEX(Bestand!$B$14:$B$213,MATCH(A232,Bestand!$A$14:$A$213,0)),"ID unbekannt"))</f>
        <v/>
      </c>
      <c r="C232" s="63" t="n"/>
      <c r="D232" s="62" t="n"/>
      <c r="E232" s="60" t="n"/>
      <c r="F232" s="60" t="n"/>
      <c r="G232" s="61" t="n"/>
      <c r="H232" s="69">
        <f>IF(OR(A232="",C232=""),"",COUNTIFS($A$7:$A$1006,A232,$C$7:$C$1006,"&lt;"&amp;C232)+1)</f>
        <v/>
      </c>
      <c r="I232" s="67">
        <f>IF(H232="","",IF(H232=1,"",C232-_xlfn.MAXIFS($C$7:$C$1006,$A$7:$A$1006,A232,$C$7:$C$1006,"&lt;"&amp;C232)))</f>
        <v/>
      </c>
      <c r="J232" s="68">
        <f>IF(I232="","",I232/TpM)</f>
        <v/>
      </c>
      <c r="K232" s="69">
        <f>IF(H232="","",COUNTIFS($A$7:$A$1006,A232,$C$7:$C$1006,"&gt;0")-H232)</f>
        <v/>
      </c>
      <c r="L232" s="69">
        <f>IF(H232="","",A232&amp;"|"&amp;H232)</f>
        <v/>
      </c>
      <c r="M232" s="69">
        <f>IF(A232="","",IFERROR(INDEX(Bestand!$AC$14:$AC$213,MATCH(A232,Bestand!$A$14:$A$213,0)),0))</f>
        <v/>
      </c>
      <c r="N232" s="69">
        <f>IF(OR(H232="",M232&lt;&gt;1),"",C232+ROW()/100000)</f>
        <v/>
      </c>
    </row>
    <row r="233" ht="20" customHeight="1">
      <c r="A233" s="60" t="n"/>
      <c r="B233" s="65">
        <f>IF(A233="","",IFERROR(INDEX(Bestand!$B$14:$B$213,MATCH(A233,Bestand!$A$14:$A$213,0)),"ID unbekannt"))</f>
        <v/>
      </c>
      <c r="C233" s="63" t="n"/>
      <c r="D233" s="62" t="n"/>
      <c r="E233" s="60" t="n"/>
      <c r="F233" s="60" t="n"/>
      <c r="G233" s="61" t="n"/>
      <c r="H233" s="69">
        <f>IF(OR(A233="",C233=""),"",COUNTIFS($A$7:$A$1006,A233,$C$7:$C$1006,"&lt;"&amp;C233)+1)</f>
        <v/>
      </c>
      <c r="I233" s="67">
        <f>IF(H233="","",IF(H233=1,"",C233-_xlfn.MAXIFS($C$7:$C$1006,$A$7:$A$1006,A233,$C$7:$C$1006,"&lt;"&amp;C233)))</f>
        <v/>
      </c>
      <c r="J233" s="68">
        <f>IF(I233="","",I233/TpM)</f>
        <v/>
      </c>
      <c r="K233" s="69">
        <f>IF(H233="","",COUNTIFS($A$7:$A$1006,A233,$C$7:$C$1006,"&gt;0")-H233)</f>
        <v/>
      </c>
      <c r="L233" s="69">
        <f>IF(H233="","",A233&amp;"|"&amp;H233)</f>
        <v/>
      </c>
      <c r="M233" s="69">
        <f>IF(A233="","",IFERROR(INDEX(Bestand!$AC$14:$AC$213,MATCH(A233,Bestand!$A$14:$A$213,0)),0))</f>
        <v/>
      </c>
      <c r="N233" s="69">
        <f>IF(OR(H233="",M233&lt;&gt;1),"",C233+ROW()/100000)</f>
        <v/>
      </c>
    </row>
    <row r="234" ht="20" customHeight="1">
      <c r="A234" s="60" t="n"/>
      <c r="B234" s="65">
        <f>IF(A234="","",IFERROR(INDEX(Bestand!$B$14:$B$213,MATCH(A234,Bestand!$A$14:$A$213,0)),"ID unbekannt"))</f>
        <v/>
      </c>
      <c r="C234" s="63" t="n"/>
      <c r="D234" s="62" t="n"/>
      <c r="E234" s="60" t="n"/>
      <c r="F234" s="60" t="n"/>
      <c r="G234" s="61" t="n"/>
      <c r="H234" s="69">
        <f>IF(OR(A234="",C234=""),"",COUNTIFS($A$7:$A$1006,A234,$C$7:$C$1006,"&lt;"&amp;C234)+1)</f>
        <v/>
      </c>
      <c r="I234" s="67">
        <f>IF(H234="","",IF(H234=1,"",C234-_xlfn.MAXIFS($C$7:$C$1006,$A$7:$A$1006,A234,$C$7:$C$1006,"&lt;"&amp;C234)))</f>
        <v/>
      </c>
      <c r="J234" s="68">
        <f>IF(I234="","",I234/TpM)</f>
        <v/>
      </c>
      <c r="K234" s="69">
        <f>IF(H234="","",COUNTIFS($A$7:$A$1006,A234,$C$7:$C$1006,"&gt;0")-H234)</f>
        <v/>
      </c>
      <c r="L234" s="69">
        <f>IF(H234="","",A234&amp;"|"&amp;H234)</f>
        <v/>
      </c>
      <c r="M234" s="69">
        <f>IF(A234="","",IFERROR(INDEX(Bestand!$AC$14:$AC$213,MATCH(A234,Bestand!$A$14:$A$213,0)),0))</f>
        <v/>
      </c>
      <c r="N234" s="69">
        <f>IF(OR(H234="",M234&lt;&gt;1),"",C234+ROW()/100000)</f>
        <v/>
      </c>
    </row>
    <row r="235" ht="20" customHeight="1">
      <c r="A235" s="60" t="n"/>
      <c r="B235" s="65">
        <f>IF(A235="","",IFERROR(INDEX(Bestand!$B$14:$B$213,MATCH(A235,Bestand!$A$14:$A$213,0)),"ID unbekannt"))</f>
        <v/>
      </c>
      <c r="C235" s="63" t="n"/>
      <c r="D235" s="62" t="n"/>
      <c r="E235" s="60" t="n"/>
      <c r="F235" s="60" t="n"/>
      <c r="G235" s="61" t="n"/>
      <c r="H235" s="69">
        <f>IF(OR(A235="",C235=""),"",COUNTIFS($A$7:$A$1006,A235,$C$7:$C$1006,"&lt;"&amp;C235)+1)</f>
        <v/>
      </c>
      <c r="I235" s="67">
        <f>IF(H235="","",IF(H235=1,"",C235-_xlfn.MAXIFS($C$7:$C$1006,$A$7:$A$1006,A235,$C$7:$C$1006,"&lt;"&amp;C235)))</f>
        <v/>
      </c>
      <c r="J235" s="68">
        <f>IF(I235="","",I235/TpM)</f>
        <v/>
      </c>
      <c r="K235" s="69">
        <f>IF(H235="","",COUNTIFS($A$7:$A$1006,A235,$C$7:$C$1006,"&gt;0")-H235)</f>
        <v/>
      </c>
      <c r="L235" s="69">
        <f>IF(H235="","",A235&amp;"|"&amp;H235)</f>
        <v/>
      </c>
      <c r="M235" s="69">
        <f>IF(A235="","",IFERROR(INDEX(Bestand!$AC$14:$AC$213,MATCH(A235,Bestand!$A$14:$A$213,0)),0))</f>
        <v/>
      </c>
      <c r="N235" s="69">
        <f>IF(OR(H235="",M235&lt;&gt;1),"",C235+ROW()/100000)</f>
        <v/>
      </c>
    </row>
    <row r="236" ht="20" customHeight="1">
      <c r="A236" s="60" t="n"/>
      <c r="B236" s="65">
        <f>IF(A236="","",IFERROR(INDEX(Bestand!$B$14:$B$213,MATCH(A236,Bestand!$A$14:$A$213,0)),"ID unbekannt"))</f>
        <v/>
      </c>
      <c r="C236" s="63" t="n"/>
      <c r="D236" s="62" t="n"/>
      <c r="E236" s="60" t="n"/>
      <c r="F236" s="60" t="n"/>
      <c r="G236" s="61" t="n"/>
      <c r="H236" s="69">
        <f>IF(OR(A236="",C236=""),"",COUNTIFS($A$7:$A$1006,A236,$C$7:$C$1006,"&lt;"&amp;C236)+1)</f>
        <v/>
      </c>
      <c r="I236" s="67">
        <f>IF(H236="","",IF(H236=1,"",C236-_xlfn.MAXIFS($C$7:$C$1006,$A$7:$A$1006,A236,$C$7:$C$1006,"&lt;"&amp;C236)))</f>
        <v/>
      </c>
      <c r="J236" s="68">
        <f>IF(I236="","",I236/TpM)</f>
        <v/>
      </c>
      <c r="K236" s="69">
        <f>IF(H236="","",COUNTIFS($A$7:$A$1006,A236,$C$7:$C$1006,"&gt;0")-H236)</f>
        <v/>
      </c>
      <c r="L236" s="69">
        <f>IF(H236="","",A236&amp;"|"&amp;H236)</f>
        <v/>
      </c>
      <c r="M236" s="69">
        <f>IF(A236="","",IFERROR(INDEX(Bestand!$AC$14:$AC$213,MATCH(A236,Bestand!$A$14:$A$213,0)),0))</f>
        <v/>
      </c>
      <c r="N236" s="69">
        <f>IF(OR(H236="",M236&lt;&gt;1),"",C236+ROW()/100000)</f>
        <v/>
      </c>
    </row>
    <row r="237" ht="20" customHeight="1">
      <c r="A237" s="60" t="n"/>
      <c r="B237" s="65">
        <f>IF(A237="","",IFERROR(INDEX(Bestand!$B$14:$B$213,MATCH(A237,Bestand!$A$14:$A$213,0)),"ID unbekannt"))</f>
        <v/>
      </c>
      <c r="C237" s="63" t="n"/>
      <c r="D237" s="62" t="n"/>
      <c r="E237" s="60" t="n"/>
      <c r="F237" s="60" t="n"/>
      <c r="G237" s="61" t="n"/>
      <c r="H237" s="69">
        <f>IF(OR(A237="",C237=""),"",COUNTIFS($A$7:$A$1006,A237,$C$7:$C$1006,"&lt;"&amp;C237)+1)</f>
        <v/>
      </c>
      <c r="I237" s="67">
        <f>IF(H237="","",IF(H237=1,"",C237-_xlfn.MAXIFS($C$7:$C$1006,$A$7:$A$1006,A237,$C$7:$C$1006,"&lt;"&amp;C237)))</f>
        <v/>
      </c>
      <c r="J237" s="68">
        <f>IF(I237="","",I237/TpM)</f>
        <v/>
      </c>
      <c r="K237" s="69">
        <f>IF(H237="","",COUNTIFS($A$7:$A$1006,A237,$C$7:$C$1006,"&gt;0")-H237)</f>
        <v/>
      </c>
      <c r="L237" s="69">
        <f>IF(H237="","",A237&amp;"|"&amp;H237)</f>
        <v/>
      </c>
      <c r="M237" s="69">
        <f>IF(A237="","",IFERROR(INDEX(Bestand!$AC$14:$AC$213,MATCH(A237,Bestand!$A$14:$A$213,0)),0))</f>
        <v/>
      </c>
      <c r="N237" s="69">
        <f>IF(OR(H237="",M237&lt;&gt;1),"",C237+ROW()/100000)</f>
        <v/>
      </c>
    </row>
    <row r="238" ht="20" customHeight="1">
      <c r="A238" s="60" t="n"/>
      <c r="B238" s="65">
        <f>IF(A238="","",IFERROR(INDEX(Bestand!$B$14:$B$213,MATCH(A238,Bestand!$A$14:$A$213,0)),"ID unbekannt"))</f>
        <v/>
      </c>
      <c r="C238" s="63" t="n"/>
      <c r="D238" s="62" t="n"/>
      <c r="E238" s="60" t="n"/>
      <c r="F238" s="60" t="n"/>
      <c r="G238" s="61" t="n"/>
      <c r="H238" s="69">
        <f>IF(OR(A238="",C238=""),"",COUNTIFS($A$7:$A$1006,A238,$C$7:$C$1006,"&lt;"&amp;C238)+1)</f>
        <v/>
      </c>
      <c r="I238" s="67">
        <f>IF(H238="","",IF(H238=1,"",C238-_xlfn.MAXIFS($C$7:$C$1006,$A$7:$A$1006,A238,$C$7:$C$1006,"&lt;"&amp;C238)))</f>
        <v/>
      </c>
      <c r="J238" s="68">
        <f>IF(I238="","",I238/TpM)</f>
        <v/>
      </c>
      <c r="K238" s="69">
        <f>IF(H238="","",COUNTIFS($A$7:$A$1006,A238,$C$7:$C$1006,"&gt;0")-H238)</f>
        <v/>
      </c>
      <c r="L238" s="69">
        <f>IF(H238="","",A238&amp;"|"&amp;H238)</f>
        <v/>
      </c>
      <c r="M238" s="69">
        <f>IF(A238="","",IFERROR(INDEX(Bestand!$AC$14:$AC$213,MATCH(A238,Bestand!$A$14:$A$213,0)),0))</f>
        <v/>
      </c>
      <c r="N238" s="69">
        <f>IF(OR(H238="",M238&lt;&gt;1),"",C238+ROW()/100000)</f>
        <v/>
      </c>
    </row>
    <row r="239" ht="20" customHeight="1">
      <c r="A239" s="60" t="n"/>
      <c r="B239" s="65">
        <f>IF(A239="","",IFERROR(INDEX(Bestand!$B$14:$B$213,MATCH(A239,Bestand!$A$14:$A$213,0)),"ID unbekannt"))</f>
        <v/>
      </c>
      <c r="C239" s="63" t="n"/>
      <c r="D239" s="62" t="n"/>
      <c r="E239" s="60" t="n"/>
      <c r="F239" s="60" t="n"/>
      <c r="G239" s="61" t="n"/>
      <c r="H239" s="69">
        <f>IF(OR(A239="",C239=""),"",COUNTIFS($A$7:$A$1006,A239,$C$7:$C$1006,"&lt;"&amp;C239)+1)</f>
        <v/>
      </c>
      <c r="I239" s="67">
        <f>IF(H239="","",IF(H239=1,"",C239-_xlfn.MAXIFS($C$7:$C$1006,$A$7:$A$1006,A239,$C$7:$C$1006,"&lt;"&amp;C239)))</f>
        <v/>
      </c>
      <c r="J239" s="68">
        <f>IF(I239="","",I239/TpM)</f>
        <v/>
      </c>
      <c r="K239" s="69">
        <f>IF(H239="","",COUNTIFS($A$7:$A$1006,A239,$C$7:$C$1006,"&gt;0")-H239)</f>
        <v/>
      </c>
      <c r="L239" s="69">
        <f>IF(H239="","",A239&amp;"|"&amp;H239)</f>
        <v/>
      </c>
      <c r="M239" s="69">
        <f>IF(A239="","",IFERROR(INDEX(Bestand!$AC$14:$AC$213,MATCH(A239,Bestand!$A$14:$A$213,0)),0))</f>
        <v/>
      </c>
      <c r="N239" s="69">
        <f>IF(OR(H239="",M239&lt;&gt;1),"",C239+ROW()/100000)</f>
        <v/>
      </c>
    </row>
    <row r="240" ht="20" customHeight="1">
      <c r="A240" s="60" t="n"/>
      <c r="B240" s="65">
        <f>IF(A240="","",IFERROR(INDEX(Bestand!$B$14:$B$213,MATCH(A240,Bestand!$A$14:$A$213,0)),"ID unbekannt"))</f>
        <v/>
      </c>
      <c r="C240" s="63" t="n"/>
      <c r="D240" s="62" t="n"/>
      <c r="E240" s="60" t="n"/>
      <c r="F240" s="60" t="n"/>
      <c r="G240" s="61" t="n"/>
      <c r="H240" s="69">
        <f>IF(OR(A240="",C240=""),"",COUNTIFS($A$7:$A$1006,A240,$C$7:$C$1006,"&lt;"&amp;C240)+1)</f>
        <v/>
      </c>
      <c r="I240" s="67">
        <f>IF(H240="","",IF(H240=1,"",C240-_xlfn.MAXIFS($C$7:$C$1006,$A$7:$A$1006,A240,$C$7:$C$1006,"&lt;"&amp;C240)))</f>
        <v/>
      </c>
      <c r="J240" s="68">
        <f>IF(I240="","",I240/TpM)</f>
        <v/>
      </c>
      <c r="K240" s="69">
        <f>IF(H240="","",COUNTIFS($A$7:$A$1006,A240,$C$7:$C$1006,"&gt;0")-H240)</f>
        <v/>
      </c>
      <c r="L240" s="69">
        <f>IF(H240="","",A240&amp;"|"&amp;H240)</f>
        <v/>
      </c>
      <c r="M240" s="69">
        <f>IF(A240="","",IFERROR(INDEX(Bestand!$AC$14:$AC$213,MATCH(A240,Bestand!$A$14:$A$213,0)),0))</f>
        <v/>
      </c>
      <c r="N240" s="69">
        <f>IF(OR(H240="",M240&lt;&gt;1),"",C240+ROW()/100000)</f>
        <v/>
      </c>
    </row>
    <row r="241" ht="20" customHeight="1">
      <c r="A241" s="60" t="n"/>
      <c r="B241" s="65">
        <f>IF(A241="","",IFERROR(INDEX(Bestand!$B$14:$B$213,MATCH(A241,Bestand!$A$14:$A$213,0)),"ID unbekannt"))</f>
        <v/>
      </c>
      <c r="C241" s="63" t="n"/>
      <c r="D241" s="62" t="n"/>
      <c r="E241" s="60" t="n"/>
      <c r="F241" s="60" t="n"/>
      <c r="G241" s="61" t="n"/>
      <c r="H241" s="69">
        <f>IF(OR(A241="",C241=""),"",COUNTIFS($A$7:$A$1006,A241,$C$7:$C$1006,"&lt;"&amp;C241)+1)</f>
        <v/>
      </c>
      <c r="I241" s="67">
        <f>IF(H241="","",IF(H241=1,"",C241-_xlfn.MAXIFS($C$7:$C$1006,$A$7:$A$1006,A241,$C$7:$C$1006,"&lt;"&amp;C241)))</f>
        <v/>
      </c>
      <c r="J241" s="68">
        <f>IF(I241="","",I241/TpM)</f>
        <v/>
      </c>
      <c r="K241" s="69">
        <f>IF(H241="","",COUNTIFS($A$7:$A$1006,A241,$C$7:$C$1006,"&gt;0")-H241)</f>
        <v/>
      </c>
      <c r="L241" s="69">
        <f>IF(H241="","",A241&amp;"|"&amp;H241)</f>
        <v/>
      </c>
      <c r="M241" s="69">
        <f>IF(A241="","",IFERROR(INDEX(Bestand!$AC$14:$AC$213,MATCH(A241,Bestand!$A$14:$A$213,0)),0))</f>
        <v/>
      </c>
      <c r="N241" s="69">
        <f>IF(OR(H241="",M241&lt;&gt;1),"",C241+ROW()/100000)</f>
        <v/>
      </c>
    </row>
    <row r="242" ht="20" customHeight="1">
      <c r="A242" s="60" t="n"/>
      <c r="B242" s="65">
        <f>IF(A242="","",IFERROR(INDEX(Bestand!$B$14:$B$213,MATCH(A242,Bestand!$A$14:$A$213,0)),"ID unbekannt"))</f>
        <v/>
      </c>
      <c r="C242" s="63" t="n"/>
      <c r="D242" s="62" t="n"/>
      <c r="E242" s="60" t="n"/>
      <c r="F242" s="60" t="n"/>
      <c r="G242" s="61" t="n"/>
      <c r="H242" s="69">
        <f>IF(OR(A242="",C242=""),"",COUNTIFS($A$7:$A$1006,A242,$C$7:$C$1006,"&lt;"&amp;C242)+1)</f>
        <v/>
      </c>
      <c r="I242" s="67">
        <f>IF(H242="","",IF(H242=1,"",C242-_xlfn.MAXIFS($C$7:$C$1006,$A$7:$A$1006,A242,$C$7:$C$1006,"&lt;"&amp;C242)))</f>
        <v/>
      </c>
      <c r="J242" s="68">
        <f>IF(I242="","",I242/TpM)</f>
        <v/>
      </c>
      <c r="K242" s="69">
        <f>IF(H242="","",COUNTIFS($A$7:$A$1006,A242,$C$7:$C$1006,"&gt;0")-H242)</f>
        <v/>
      </c>
      <c r="L242" s="69">
        <f>IF(H242="","",A242&amp;"|"&amp;H242)</f>
        <v/>
      </c>
      <c r="M242" s="69">
        <f>IF(A242="","",IFERROR(INDEX(Bestand!$AC$14:$AC$213,MATCH(A242,Bestand!$A$14:$A$213,0)),0))</f>
        <v/>
      </c>
      <c r="N242" s="69">
        <f>IF(OR(H242="",M242&lt;&gt;1),"",C242+ROW()/100000)</f>
        <v/>
      </c>
    </row>
    <row r="243" ht="20" customHeight="1">
      <c r="A243" s="60" t="n"/>
      <c r="B243" s="65">
        <f>IF(A243="","",IFERROR(INDEX(Bestand!$B$14:$B$213,MATCH(A243,Bestand!$A$14:$A$213,0)),"ID unbekannt"))</f>
        <v/>
      </c>
      <c r="C243" s="63" t="n"/>
      <c r="D243" s="62" t="n"/>
      <c r="E243" s="60" t="n"/>
      <c r="F243" s="60" t="n"/>
      <c r="G243" s="61" t="n"/>
      <c r="H243" s="69">
        <f>IF(OR(A243="",C243=""),"",COUNTIFS($A$7:$A$1006,A243,$C$7:$C$1006,"&lt;"&amp;C243)+1)</f>
        <v/>
      </c>
      <c r="I243" s="67">
        <f>IF(H243="","",IF(H243=1,"",C243-_xlfn.MAXIFS($C$7:$C$1006,$A$7:$A$1006,A243,$C$7:$C$1006,"&lt;"&amp;C243)))</f>
        <v/>
      </c>
      <c r="J243" s="68">
        <f>IF(I243="","",I243/TpM)</f>
        <v/>
      </c>
      <c r="K243" s="69">
        <f>IF(H243="","",COUNTIFS($A$7:$A$1006,A243,$C$7:$C$1006,"&gt;0")-H243)</f>
        <v/>
      </c>
      <c r="L243" s="69">
        <f>IF(H243="","",A243&amp;"|"&amp;H243)</f>
        <v/>
      </c>
      <c r="M243" s="69">
        <f>IF(A243="","",IFERROR(INDEX(Bestand!$AC$14:$AC$213,MATCH(A243,Bestand!$A$14:$A$213,0)),0))</f>
        <v/>
      </c>
      <c r="N243" s="69">
        <f>IF(OR(H243="",M243&lt;&gt;1),"",C243+ROW()/100000)</f>
        <v/>
      </c>
    </row>
    <row r="244" ht="20" customHeight="1">
      <c r="A244" s="60" t="n"/>
      <c r="B244" s="65">
        <f>IF(A244="","",IFERROR(INDEX(Bestand!$B$14:$B$213,MATCH(A244,Bestand!$A$14:$A$213,0)),"ID unbekannt"))</f>
        <v/>
      </c>
      <c r="C244" s="63" t="n"/>
      <c r="D244" s="62" t="n"/>
      <c r="E244" s="60" t="n"/>
      <c r="F244" s="60" t="n"/>
      <c r="G244" s="61" t="n"/>
      <c r="H244" s="69">
        <f>IF(OR(A244="",C244=""),"",COUNTIFS($A$7:$A$1006,A244,$C$7:$C$1006,"&lt;"&amp;C244)+1)</f>
        <v/>
      </c>
      <c r="I244" s="67">
        <f>IF(H244="","",IF(H244=1,"",C244-_xlfn.MAXIFS($C$7:$C$1006,$A$7:$A$1006,A244,$C$7:$C$1006,"&lt;"&amp;C244)))</f>
        <v/>
      </c>
      <c r="J244" s="68">
        <f>IF(I244="","",I244/TpM)</f>
        <v/>
      </c>
      <c r="K244" s="69">
        <f>IF(H244="","",COUNTIFS($A$7:$A$1006,A244,$C$7:$C$1006,"&gt;0")-H244)</f>
        <v/>
      </c>
      <c r="L244" s="69">
        <f>IF(H244="","",A244&amp;"|"&amp;H244)</f>
        <v/>
      </c>
      <c r="M244" s="69">
        <f>IF(A244="","",IFERROR(INDEX(Bestand!$AC$14:$AC$213,MATCH(A244,Bestand!$A$14:$A$213,0)),0))</f>
        <v/>
      </c>
      <c r="N244" s="69">
        <f>IF(OR(H244="",M244&lt;&gt;1),"",C244+ROW()/100000)</f>
        <v/>
      </c>
    </row>
    <row r="245" ht="20" customHeight="1">
      <c r="A245" s="60" t="n"/>
      <c r="B245" s="65">
        <f>IF(A245="","",IFERROR(INDEX(Bestand!$B$14:$B$213,MATCH(A245,Bestand!$A$14:$A$213,0)),"ID unbekannt"))</f>
        <v/>
      </c>
      <c r="C245" s="63" t="n"/>
      <c r="D245" s="62" t="n"/>
      <c r="E245" s="60" t="n"/>
      <c r="F245" s="60" t="n"/>
      <c r="G245" s="61" t="n"/>
      <c r="H245" s="69">
        <f>IF(OR(A245="",C245=""),"",COUNTIFS($A$7:$A$1006,A245,$C$7:$C$1006,"&lt;"&amp;C245)+1)</f>
        <v/>
      </c>
      <c r="I245" s="67">
        <f>IF(H245="","",IF(H245=1,"",C245-_xlfn.MAXIFS($C$7:$C$1006,$A$7:$A$1006,A245,$C$7:$C$1006,"&lt;"&amp;C245)))</f>
        <v/>
      </c>
      <c r="J245" s="68">
        <f>IF(I245="","",I245/TpM)</f>
        <v/>
      </c>
      <c r="K245" s="69">
        <f>IF(H245="","",COUNTIFS($A$7:$A$1006,A245,$C$7:$C$1006,"&gt;0")-H245)</f>
        <v/>
      </c>
      <c r="L245" s="69">
        <f>IF(H245="","",A245&amp;"|"&amp;H245)</f>
        <v/>
      </c>
      <c r="M245" s="69">
        <f>IF(A245="","",IFERROR(INDEX(Bestand!$AC$14:$AC$213,MATCH(A245,Bestand!$A$14:$A$213,0)),0))</f>
        <v/>
      </c>
      <c r="N245" s="69">
        <f>IF(OR(H245="",M245&lt;&gt;1),"",C245+ROW()/100000)</f>
        <v/>
      </c>
    </row>
    <row r="246" ht="20" customHeight="1">
      <c r="A246" s="60" t="n"/>
      <c r="B246" s="65">
        <f>IF(A246="","",IFERROR(INDEX(Bestand!$B$14:$B$213,MATCH(A246,Bestand!$A$14:$A$213,0)),"ID unbekannt"))</f>
        <v/>
      </c>
      <c r="C246" s="63" t="n"/>
      <c r="D246" s="62" t="n"/>
      <c r="E246" s="60" t="n"/>
      <c r="F246" s="60" t="n"/>
      <c r="G246" s="61" t="n"/>
      <c r="H246" s="69">
        <f>IF(OR(A246="",C246=""),"",COUNTIFS($A$7:$A$1006,A246,$C$7:$C$1006,"&lt;"&amp;C246)+1)</f>
        <v/>
      </c>
      <c r="I246" s="67">
        <f>IF(H246="","",IF(H246=1,"",C246-_xlfn.MAXIFS($C$7:$C$1006,$A$7:$A$1006,A246,$C$7:$C$1006,"&lt;"&amp;C246)))</f>
        <v/>
      </c>
      <c r="J246" s="68">
        <f>IF(I246="","",I246/TpM)</f>
        <v/>
      </c>
      <c r="K246" s="69">
        <f>IF(H246="","",COUNTIFS($A$7:$A$1006,A246,$C$7:$C$1006,"&gt;0")-H246)</f>
        <v/>
      </c>
      <c r="L246" s="69">
        <f>IF(H246="","",A246&amp;"|"&amp;H246)</f>
        <v/>
      </c>
      <c r="M246" s="69">
        <f>IF(A246="","",IFERROR(INDEX(Bestand!$AC$14:$AC$213,MATCH(A246,Bestand!$A$14:$A$213,0)),0))</f>
        <v/>
      </c>
      <c r="N246" s="69">
        <f>IF(OR(H246="",M246&lt;&gt;1),"",C246+ROW()/100000)</f>
        <v/>
      </c>
    </row>
    <row r="247" ht="20" customHeight="1">
      <c r="A247" s="60" t="n"/>
      <c r="B247" s="65">
        <f>IF(A247="","",IFERROR(INDEX(Bestand!$B$14:$B$213,MATCH(A247,Bestand!$A$14:$A$213,0)),"ID unbekannt"))</f>
        <v/>
      </c>
      <c r="C247" s="63" t="n"/>
      <c r="D247" s="62" t="n"/>
      <c r="E247" s="60" t="n"/>
      <c r="F247" s="60" t="n"/>
      <c r="G247" s="61" t="n"/>
      <c r="H247" s="69">
        <f>IF(OR(A247="",C247=""),"",COUNTIFS($A$7:$A$1006,A247,$C$7:$C$1006,"&lt;"&amp;C247)+1)</f>
        <v/>
      </c>
      <c r="I247" s="67">
        <f>IF(H247="","",IF(H247=1,"",C247-_xlfn.MAXIFS($C$7:$C$1006,$A$7:$A$1006,A247,$C$7:$C$1006,"&lt;"&amp;C247)))</f>
        <v/>
      </c>
      <c r="J247" s="68">
        <f>IF(I247="","",I247/TpM)</f>
        <v/>
      </c>
      <c r="K247" s="69">
        <f>IF(H247="","",COUNTIFS($A$7:$A$1006,A247,$C$7:$C$1006,"&gt;0")-H247)</f>
        <v/>
      </c>
      <c r="L247" s="69">
        <f>IF(H247="","",A247&amp;"|"&amp;H247)</f>
        <v/>
      </c>
      <c r="M247" s="69">
        <f>IF(A247="","",IFERROR(INDEX(Bestand!$AC$14:$AC$213,MATCH(A247,Bestand!$A$14:$A$213,0)),0))</f>
        <v/>
      </c>
      <c r="N247" s="69">
        <f>IF(OR(H247="",M247&lt;&gt;1),"",C247+ROW()/100000)</f>
        <v/>
      </c>
    </row>
    <row r="248" ht="20" customHeight="1">
      <c r="A248" s="60" t="n"/>
      <c r="B248" s="65">
        <f>IF(A248="","",IFERROR(INDEX(Bestand!$B$14:$B$213,MATCH(A248,Bestand!$A$14:$A$213,0)),"ID unbekannt"))</f>
        <v/>
      </c>
      <c r="C248" s="63" t="n"/>
      <c r="D248" s="62" t="n"/>
      <c r="E248" s="60" t="n"/>
      <c r="F248" s="60" t="n"/>
      <c r="G248" s="61" t="n"/>
      <c r="H248" s="69">
        <f>IF(OR(A248="",C248=""),"",COUNTIFS($A$7:$A$1006,A248,$C$7:$C$1006,"&lt;"&amp;C248)+1)</f>
        <v/>
      </c>
      <c r="I248" s="67">
        <f>IF(H248="","",IF(H248=1,"",C248-_xlfn.MAXIFS($C$7:$C$1006,$A$7:$A$1006,A248,$C$7:$C$1006,"&lt;"&amp;C248)))</f>
        <v/>
      </c>
      <c r="J248" s="68">
        <f>IF(I248="","",I248/TpM)</f>
        <v/>
      </c>
      <c r="K248" s="69">
        <f>IF(H248="","",COUNTIFS($A$7:$A$1006,A248,$C$7:$C$1006,"&gt;0")-H248)</f>
        <v/>
      </c>
      <c r="L248" s="69">
        <f>IF(H248="","",A248&amp;"|"&amp;H248)</f>
        <v/>
      </c>
      <c r="M248" s="69">
        <f>IF(A248="","",IFERROR(INDEX(Bestand!$AC$14:$AC$213,MATCH(A248,Bestand!$A$14:$A$213,0)),0))</f>
        <v/>
      </c>
      <c r="N248" s="69">
        <f>IF(OR(H248="",M248&lt;&gt;1),"",C248+ROW()/100000)</f>
        <v/>
      </c>
    </row>
    <row r="249" ht="20" customHeight="1">
      <c r="A249" s="60" t="n"/>
      <c r="B249" s="65">
        <f>IF(A249="","",IFERROR(INDEX(Bestand!$B$14:$B$213,MATCH(A249,Bestand!$A$14:$A$213,0)),"ID unbekannt"))</f>
        <v/>
      </c>
      <c r="C249" s="63" t="n"/>
      <c r="D249" s="62" t="n"/>
      <c r="E249" s="60" t="n"/>
      <c r="F249" s="60" t="n"/>
      <c r="G249" s="61" t="n"/>
      <c r="H249" s="69">
        <f>IF(OR(A249="",C249=""),"",COUNTIFS($A$7:$A$1006,A249,$C$7:$C$1006,"&lt;"&amp;C249)+1)</f>
        <v/>
      </c>
      <c r="I249" s="67">
        <f>IF(H249="","",IF(H249=1,"",C249-_xlfn.MAXIFS($C$7:$C$1006,$A$7:$A$1006,A249,$C$7:$C$1006,"&lt;"&amp;C249)))</f>
        <v/>
      </c>
      <c r="J249" s="68">
        <f>IF(I249="","",I249/TpM)</f>
        <v/>
      </c>
      <c r="K249" s="69">
        <f>IF(H249="","",COUNTIFS($A$7:$A$1006,A249,$C$7:$C$1006,"&gt;0")-H249)</f>
        <v/>
      </c>
      <c r="L249" s="69">
        <f>IF(H249="","",A249&amp;"|"&amp;H249)</f>
        <v/>
      </c>
      <c r="M249" s="69">
        <f>IF(A249="","",IFERROR(INDEX(Bestand!$AC$14:$AC$213,MATCH(A249,Bestand!$A$14:$A$213,0)),0))</f>
        <v/>
      </c>
      <c r="N249" s="69">
        <f>IF(OR(H249="",M249&lt;&gt;1),"",C249+ROW()/100000)</f>
        <v/>
      </c>
    </row>
    <row r="250" ht="20" customHeight="1">
      <c r="A250" s="60" t="n"/>
      <c r="B250" s="65">
        <f>IF(A250="","",IFERROR(INDEX(Bestand!$B$14:$B$213,MATCH(A250,Bestand!$A$14:$A$213,0)),"ID unbekannt"))</f>
        <v/>
      </c>
      <c r="C250" s="63" t="n"/>
      <c r="D250" s="62" t="n"/>
      <c r="E250" s="60" t="n"/>
      <c r="F250" s="60" t="n"/>
      <c r="G250" s="61" t="n"/>
      <c r="H250" s="69">
        <f>IF(OR(A250="",C250=""),"",COUNTIFS($A$7:$A$1006,A250,$C$7:$C$1006,"&lt;"&amp;C250)+1)</f>
        <v/>
      </c>
      <c r="I250" s="67">
        <f>IF(H250="","",IF(H250=1,"",C250-_xlfn.MAXIFS($C$7:$C$1006,$A$7:$A$1006,A250,$C$7:$C$1006,"&lt;"&amp;C250)))</f>
        <v/>
      </c>
      <c r="J250" s="68">
        <f>IF(I250="","",I250/TpM)</f>
        <v/>
      </c>
      <c r="K250" s="69">
        <f>IF(H250="","",COUNTIFS($A$7:$A$1006,A250,$C$7:$C$1006,"&gt;0")-H250)</f>
        <v/>
      </c>
      <c r="L250" s="69">
        <f>IF(H250="","",A250&amp;"|"&amp;H250)</f>
        <v/>
      </c>
      <c r="M250" s="69">
        <f>IF(A250="","",IFERROR(INDEX(Bestand!$AC$14:$AC$213,MATCH(A250,Bestand!$A$14:$A$213,0)),0))</f>
        <v/>
      </c>
      <c r="N250" s="69">
        <f>IF(OR(H250="",M250&lt;&gt;1),"",C250+ROW()/100000)</f>
        <v/>
      </c>
    </row>
    <row r="251" ht="20" customHeight="1">
      <c r="A251" s="60" t="n"/>
      <c r="B251" s="65">
        <f>IF(A251="","",IFERROR(INDEX(Bestand!$B$14:$B$213,MATCH(A251,Bestand!$A$14:$A$213,0)),"ID unbekannt"))</f>
        <v/>
      </c>
      <c r="C251" s="63" t="n"/>
      <c r="D251" s="62" t="n"/>
      <c r="E251" s="60" t="n"/>
      <c r="F251" s="60" t="n"/>
      <c r="G251" s="61" t="n"/>
      <c r="H251" s="69">
        <f>IF(OR(A251="",C251=""),"",COUNTIFS($A$7:$A$1006,A251,$C$7:$C$1006,"&lt;"&amp;C251)+1)</f>
        <v/>
      </c>
      <c r="I251" s="67">
        <f>IF(H251="","",IF(H251=1,"",C251-_xlfn.MAXIFS($C$7:$C$1006,$A$7:$A$1006,A251,$C$7:$C$1006,"&lt;"&amp;C251)))</f>
        <v/>
      </c>
      <c r="J251" s="68">
        <f>IF(I251="","",I251/TpM)</f>
        <v/>
      </c>
      <c r="K251" s="69">
        <f>IF(H251="","",COUNTIFS($A$7:$A$1006,A251,$C$7:$C$1006,"&gt;0")-H251)</f>
        <v/>
      </c>
      <c r="L251" s="69">
        <f>IF(H251="","",A251&amp;"|"&amp;H251)</f>
        <v/>
      </c>
      <c r="M251" s="69">
        <f>IF(A251="","",IFERROR(INDEX(Bestand!$AC$14:$AC$213,MATCH(A251,Bestand!$A$14:$A$213,0)),0))</f>
        <v/>
      </c>
      <c r="N251" s="69">
        <f>IF(OR(H251="",M251&lt;&gt;1),"",C251+ROW()/100000)</f>
        <v/>
      </c>
    </row>
    <row r="252" ht="20" customHeight="1">
      <c r="A252" s="60" t="n"/>
      <c r="B252" s="65">
        <f>IF(A252="","",IFERROR(INDEX(Bestand!$B$14:$B$213,MATCH(A252,Bestand!$A$14:$A$213,0)),"ID unbekannt"))</f>
        <v/>
      </c>
      <c r="C252" s="63" t="n"/>
      <c r="D252" s="62" t="n"/>
      <c r="E252" s="60" t="n"/>
      <c r="F252" s="60" t="n"/>
      <c r="G252" s="61" t="n"/>
      <c r="H252" s="69">
        <f>IF(OR(A252="",C252=""),"",COUNTIFS($A$7:$A$1006,A252,$C$7:$C$1006,"&lt;"&amp;C252)+1)</f>
        <v/>
      </c>
      <c r="I252" s="67">
        <f>IF(H252="","",IF(H252=1,"",C252-_xlfn.MAXIFS($C$7:$C$1006,$A$7:$A$1006,A252,$C$7:$C$1006,"&lt;"&amp;C252)))</f>
        <v/>
      </c>
      <c r="J252" s="68">
        <f>IF(I252="","",I252/TpM)</f>
        <v/>
      </c>
      <c r="K252" s="69">
        <f>IF(H252="","",COUNTIFS($A$7:$A$1006,A252,$C$7:$C$1006,"&gt;0")-H252)</f>
        <v/>
      </c>
      <c r="L252" s="69">
        <f>IF(H252="","",A252&amp;"|"&amp;H252)</f>
        <v/>
      </c>
      <c r="M252" s="69">
        <f>IF(A252="","",IFERROR(INDEX(Bestand!$AC$14:$AC$213,MATCH(A252,Bestand!$A$14:$A$213,0)),0))</f>
        <v/>
      </c>
      <c r="N252" s="69">
        <f>IF(OR(H252="",M252&lt;&gt;1),"",C252+ROW()/100000)</f>
        <v/>
      </c>
    </row>
    <row r="253" ht="20" customHeight="1">
      <c r="A253" s="60" t="n"/>
      <c r="B253" s="65">
        <f>IF(A253="","",IFERROR(INDEX(Bestand!$B$14:$B$213,MATCH(A253,Bestand!$A$14:$A$213,0)),"ID unbekannt"))</f>
        <v/>
      </c>
      <c r="C253" s="63" t="n"/>
      <c r="D253" s="62" t="n"/>
      <c r="E253" s="60" t="n"/>
      <c r="F253" s="60" t="n"/>
      <c r="G253" s="61" t="n"/>
      <c r="H253" s="69">
        <f>IF(OR(A253="",C253=""),"",COUNTIFS($A$7:$A$1006,A253,$C$7:$C$1006,"&lt;"&amp;C253)+1)</f>
        <v/>
      </c>
      <c r="I253" s="67">
        <f>IF(H253="","",IF(H253=1,"",C253-_xlfn.MAXIFS($C$7:$C$1006,$A$7:$A$1006,A253,$C$7:$C$1006,"&lt;"&amp;C253)))</f>
        <v/>
      </c>
      <c r="J253" s="68">
        <f>IF(I253="","",I253/TpM)</f>
        <v/>
      </c>
      <c r="K253" s="69">
        <f>IF(H253="","",COUNTIFS($A$7:$A$1006,A253,$C$7:$C$1006,"&gt;0")-H253)</f>
        <v/>
      </c>
      <c r="L253" s="69">
        <f>IF(H253="","",A253&amp;"|"&amp;H253)</f>
        <v/>
      </c>
      <c r="M253" s="69">
        <f>IF(A253="","",IFERROR(INDEX(Bestand!$AC$14:$AC$213,MATCH(A253,Bestand!$A$14:$A$213,0)),0))</f>
        <v/>
      </c>
      <c r="N253" s="69">
        <f>IF(OR(H253="",M253&lt;&gt;1),"",C253+ROW()/100000)</f>
        <v/>
      </c>
    </row>
    <row r="254" ht="20" customHeight="1">
      <c r="A254" s="60" t="n"/>
      <c r="B254" s="65">
        <f>IF(A254="","",IFERROR(INDEX(Bestand!$B$14:$B$213,MATCH(A254,Bestand!$A$14:$A$213,0)),"ID unbekannt"))</f>
        <v/>
      </c>
      <c r="C254" s="63" t="n"/>
      <c r="D254" s="62" t="n"/>
      <c r="E254" s="60" t="n"/>
      <c r="F254" s="60" t="n"/>
      <c r="G254" s="61" t="n"/>
      <c r="H254" s="69">
        <f>IF(OR(A254="",C254=""),"",COUNTIFS($A$7:$A$1006,A254,$C$7:$C$1006,"&lt;"&amp;C254)+1)</f>
        <v/>
      </c>
      <c r="I254" s="67">
        <f>IF(H254="","",IF(H254=1,"",C254-_xlfn.MAXIFS($C$7:$C$1006,$A$7:$A$1006,A254,$C$7:$C$1006,"&lt;"&amp;C254)))</f>
        <v/>
      </c>
      <c r="J254" s="68">
        <f>IF(I254="","",I254/TpM)</f>
        <v/>
      </c>
      <c r="K254" s="69">
        <f>IF(H254="","",COUNTIFS($A$7:$A$1006,A254,$C$7:$C$1006,"&gt;0")-H254)</f>
        <v/>
      </c>
      <c r="L254" s="69">
        <f>IF(H254="","",A254&amp;"|"&amp;H254)</f>
        <v/>
      </c>
      <c r="M254" s="69">
        <f>IF(A254="","",IFERROR(INDEX(Bestand!$AC$14:$AC$213,MATCH(A254,Bestand!$A$14:$A$213,0)),0))</f>
        <v/>
      </c>
      <c r="N254" s="69">
        <f>IF(OR(H254="",M254&lt;&gt;1),"",C254+ROW()/100000)</f>
        <v/>
      </c>
    </row>
    <row r="255" ht="20" customHeight="1">
      <c r="A255" s="60" t="n"/>
      <c r="B255" s="65">
        <f>IF(A255="","",IFERROR(INDEX(Bestand!$B$14:$B$213,MATCH(A255,Bestand!$A$14:$A$213,0)),"ID unbekannt"))</f>
        <v/>
      </c>
      <c r="C255" s="63" t="n"/>
      <c r="D255" s="62" t="n"/>
      <c r="E255" s="60" t="n"/>
      <c r="F255" s="60" t="n"/>
      <c r="G255" s="61" t="n"/>
      <c r="H255" s="69">
        <f>IF(OR(A255="",C255=""),"",COUNTIFS($A$7:$A$1006,A255,$C$7:$C$1006,"&lt;"&amp;C255)+1)</f>
        <v/>
      </c>
      <c r="I255" s="67">
        <f>IF(H255="","",IF(H255=1,"",C255-_xlfn.MAXIFS($C$7:$C$1006,$A$7:$A$1006,A255,$C$7:$C$1006,"&lt;"&amp;C255)))</f>
        <v/>
      </c>
      <c r="J255" s="68">
        <f>IF(I255="","",I255/TpM)</f>
        <v/>
      </c>
      <c r="K255" s="69">
        <f>IF(H255="","",COUNTIFS($A$7:$A$1006,A255,$C$7:$C$1006,"&gt;0")-H255)</f>
        <v/>
      </c>
      <c r="L255" s="69">
        <f>IF(H255="","",A255&amp;"|"&amp;H255)</f>
        <v/>
      </c>
      <c r="M255" s="69">
        <f>IF(A255="","",IFERROR(INDEX(Bestand!$AC$14:$AC$213,MATCH(A255,Bestand!$A$14:$A$213,0)),0))</f>
        <v/>
      </c>
      <c r="N255" s="69">
        <f>IF(OR(H255="",M255&lt;&gt;1),"",C255+ROW()/100000)</f>
        <v/>
      </c>
    </row>
    <row r="256" ht="20" customHeight="1">
      <c r="A256" s="60" t="n"/>
      <c r="B256" s="65">
        <f>IF(A256="","",IFERROR(INDEX(Bestand!$B$14:$B$213,MATCH(A256,Bestand!$A$14:$A$213,0)),"ID unbekannt"))</f>
        <v/>
      </c>
      <c r="C256" s="63" t="n"/>
      <c r="D256" s="62" t="n"/>
      <c r="E256" s="60" t="n"/>
      <c r="F256" s="60" t="n"/>
      <c r="G256" s="61" t="n"/>
      <c r="H256" s="69">
        <f>IF(OR(A256="",C256=""),"",COUNTIFS($A$7:$A$1006,A256,$C$7:$C$1006,"&lt;"&amp;C256)+1)</f>
        <v/>
      </c>
      <c r="I256" s="67">
        <f>IF(H256="","",IF(H256=1,"",C256-_xlfn.MAXIFS($C$7:$C$1006,$A$7:$A$1006,A256,$C$7:$C$1006,"&lt;"&amp;C256)))</f>
        <v/>
      </c>
      <c r="J256" s="68">
        <f>IF(I256="","",I256/TpM)</f>
        <v/>
      </c>
      <c r="K256" s="69">
        <f>IF(H256="","",COUNTIFS($A$7:$A$1006,A256,$C$7:$C$1006,"&gt;0")-H256)</f>
        <v/>
      </c>
      <c r="L256" s="69">
        <f>IF(H256="","",A256&amp;"|"&amp;H256)</f>
        <v/>
      </c>
      <c r="M256" s="69">
        <f>IF(A256="","",IFERROR(INDEX(Bestand!$AC$14:$AC$213,MATCH(A256,Bestand!$A$14:$A$213,0)),0))</f>
        <v/>
      </c>
      <c r="N256" s="69">
        <f>IF(OR(H256="",M256&lt;&gt;1),"",C256+ROW()/100000)</f>
        <v/>
      </c>
    </row>
    <row r="257" ht="20" customHeight="1">
      <c r="A257" s="60" t="n"/>
      <c r="B257" s="65">
        <f>IF(A257="","",IFERROR(INDEX(Bestand!$B$14:$B$213,MATCH(A257,Bestand!$A$14:$A$213,0)),"ID unbekannt"))</f>
        <v/>
      </c>
      <c r="C257" s="63" t="n"/>
      <c r="D257" s="62" t="n"/>
      <c r="E257" s="60" t="n"/>
      <c r="F257" s="60" t="n"/>
      <c r="G257" s="61" t="n"/>
      <c r="H257" s="69">
        <f>IF(OR(A257="",C257=""),"",COUNTIFS($A$7:$A$1006,A257,$C$7:$C$1006,"&lt;"&amp;C257)+1)</f>
        <v/>
      </c>
      <c r="I257" s="67">
        <f>IF(H257="","",IF(H257=1,"",C257-_xlfn.MAXIFS($C$7:$C$1006,$A$7:$A$1006,A257,$C$7:$C$1006,"&lt;"&amp;C257)))</f>
        <v/>
      </c>
      <c r="J257" s="68">
        <f>IF(I257="","",I257/TpM)</f>
        <v/>
      </c>
      <c r="K257" s="69">
        <f>IF(H257="","",COUNTIFS($A$7:$A$1006,A257,$C$7:$C$1006,"&gt;0")-H257)</f>
        <v/>
      </c>
      <c r="L257" s="69">
        <f>IF(H257="","",A257&amp;"|"&amp;H257)</f>
        <v/>
      </c>
      <c r="M257" s="69">
        <f>IF(A257="","",IFERROR(INDEX(Bestand!$AC$14:$AC$213,MATCH(A257,Bestand!$A$14:$A$213,0)),0))</f>
        <v/>
      </c>
      <c r="N257" s="69">
        <f>IF(OR(H257="",M257&lt;&gt;1),"",C257+ROW()/100000)</f>
        <v/>
      </c>
    </row>
    <row r="258" ht="20" customHeight="1">
      <c r="A258" s="60" t="n"/>
      <c r="B258" s="65">
        <f>IF(A258="","",IFERROR(INDEX(Bestand!$B$14:$B$213,MATCH(A258,Bestand!$A$14:$A$213,0)),"ID unbekannt"))</f>
        <v/>
      </c>
      <c r="C258" s="63" t="n"/>
      <c r="D258" s="62" t="n"/>
      <c r="E258" s="60" t="n"/>
      <c r="F258" s="60" t="n"/>
      <c r="G258" s="61" t="n"/>
      <c r="H258" s="69">
        <f>IF(OR(A258="",C258=""),"",COUNTIFS($A$7:$A$1006,A258,$C$7:$C$1006,"&lt;"&amp;C258)+1)</f>
        <v/>
      </c>
      <c r="I258" s="67">
        <f>IF(H258="","",IF(H258=1,"",C258-_xlfn.MAXIFS($C$7:$C$1006,$A$7:$A$1006,A258,$C$7:$C$1006,"&lt;"&amp;C258)))</f>
        <v/>
      </c>
      <c r="J258" s="68">
        <f>IF(I258="","",I258/TpM)</f>
        <v/>
      </c>
      <c r="K258" s="69">
        <f>IF(H258="","",COUNTIFS($A$7:$A$1006,A258,$C$7:$C$1006,"&gt;0")-H258)</f>
        <v/>
      </c>
      <c r="L258" s="69">
        <f>IF(H258="","",A258&amp;"|"&amp;H258)</f>
        <v/>
      </c>
      <c r="M258" s="69">
        <f>IF(A258="","",IFERROR(INDEX(Bestand!$AC$14:$AC$213,MATCH(A258,Bestand!$A$14:$A$213,0)),0))</f>
        <v/>
      </c>
      <c r="N258" s="69">
        <f>IF(OR(H258="",M258&lt;&gt;1),"",C258+ROW()/100000)</f>
        <v/>
      </c>
    </row>
    <row r="259" ht="20" customHeight="1">
      <c r="A259" s="60" t="n"/>
      <c r="B259" s="65">
        <f>IF(A259="","",IFERROR(INDEX(Bestand!$B$14:$B$213,MATCH(A259,Bestand!$A$14:$A$213,0)),"ID unbekannt"))</f>
        <v/>
      </c>
      <c r="C259" s="63" t="n"/>
      <c r="D259" s="62" t="n"/>
      <c r="E259" s="60" t="n"/>
      <c r="F259" s="60" t="n"/>
      <c r="G259" s="61" t="n"/>
      <c r="H259" s="69">
        <f>IF(OR(A259="",C259=""),"",COUNTIFS($A$7:$A$1006,A259,$C$7:$C$1006,"&lt;"&amp;C259)+1)</f>
        <v/>
      </c>
      <c r="I259" s="67">
        <f>IF(H259="","",IF(H259=1,"",C259-_xlfn.MAXIFS($C$7:$C$1006,$A$7:$A$1006,A259,$C$7:$C$1006,"&lt;"&amp;C259)))</f>
        <v/>
      </c>
      <c r="J259" s="68">
        <f>IF(I259="","",I259/TpM)</f>
        <v/>
      </c>
      <c r="K259" s="69">
        <f>IF(H259="","",COUNTIFS($A$7:$A$1006,A259,$C$7:$C$1006,"&gt;0")-H259)</f>
        <v/>
      </c>
      <c r="L259" s="69">
        <f>IF(H259="","",A259&amp;"|"&amp;H259)</f>
        <v/>
      </c>
      <c r="M259" s="69">
        <f>IF(A259="","",IFERROR(INDEX(Bestand!$AC$14:$AC$213,MATCH(A259,Bestand!$A$14:$A$213,0)),0))</f>
        <v/>
      </c>
      <c r="N259" s="69">
        <f>IF(OR(H259="",M259&lt;&gt;1),"",C259+ROW()/100000)</f>
        <v/>
      </c>
    </row>
    <row r="260" ht="20" customHeight="1">
      <c r="A260" s="60" t="n"/>
      <c r="B260" s="65">
        <f>IF(A260="","",IFERROR(INDEX(Bestand!$B$14:$B$213,MATCH(A260,Bestand!$A$14:$A$213,0)),"ID unbekannt"))</f>
        <v/>
      </c>
      <c r="C260" s="63" t="n"/>
      <c r="D260" s="62" t="n"/>
      <c r="E260" s="60" t="n"/>
      <c r="F260" s="60" t="n"/>
      <c r="G260" s="61" t="n"/>
      <c r="H260" s="69">
        <f>IF(OR(A260="",C260=""),"",COUNTIFS($A$7:$A$1006,A260,$C$7:$C$1006,"&lt;"&amp;C260)+1)</f>
        <v/>
      </c>
      <c r="I260" s="67">
        <f>IF(H260="","",IF(H260=1,"",C260-_xlfn.MAXIFS($C$7:$C$1006,$A$7:$A$1006,A260,$C$7:$C$1006,"&lt;"&amp;C260)))</f>
        <v/>
      </c>
      <c r="J260" s="68">
        <f>IF(I260="","",I260/TpM)</f>
        <v/>
      </c>
      <c r="K260" s="69">
        <f>IF(H260="","",COUNTIFS($A$7:$A$1006,A260,$C$7:$C$1006,"&gt;0")-H260)</f>
        <v/>
      </c>
      <c r="L260" s="69">
        <f>IF(H260="","",A260&amp;"|"&amp;H260)</f>
        <v/>
      </c>
      <c r="M260" s="69">
        <f>IF(A260="","",IFERROR(INDEX(Bestand!$AC$14:$AC$213,MATCH(A260,Bestand!$A$14:$A$213,0)),0))</f>
        <v/>
      </c>
      <c r="N260" s="69">
        <f>IF(OR(H260="",M260&lt;&gt;1),"",C260+ROW()/100000)</f>
        <v/>
      </c>
    </row>
    <row r="261" ht="20" customHeight="1">
      <c r="A261" s="60" t="n"/>
      <c r="B261" s="65">
        <f>IF(A261="","",IFERROR(INDEX(Bestand!$B$14:$B$213,MATCH(A261,Bestand!$A$14:$A$213,0)),"ID unbekannt"))</f>
        <v/>
      </c>
      <c r="C261" s="63" t="n"/>
      <c r="D261" s="62" t="n"/>
      <c r="E261" s="60" t="n"/>
      <c r="F261" s="60" t="n"/>
      <c r="G261" s="61" t="n"/>
      <c r="H261" s="69">
        <f>IF(OR(A261="",C261=""),"",COUNTIFS($A$7:$A$1006,A261,$C$7:$C$1006,"&lt;"&amp;C261)+1)</f>
        <v/>
      </c>
      <c r="I261" s="67">
        <f>IF(H261="","",IF(H261=1,"",C261-_xlfn.MAXIFS($C$7:$C$1006,$A$7:$A$1006,A261,$C$7:$C$1006,"&lt;"&amp;C261)))</f>
        <v/>
      </c>
      <c r="J261" s="68">
        <f>IF(I261="","",I261/TpM)</f>
        <v/>
      </c>
      <c r="K261" s="69">
        <f>IF(H261="","",COUNTIFS($A$7:$A$1006,A261,$C$7:$C$1006,"&gt;0")-H261)</f>
        <v/>
      </c>
      <c r="L261" s="69">
        <f>IF(H261="","",A261&amp;"|"&amp;H261)</f>
        <v/>
      </c>
      <c r="M261" s="69">
        <f>IF(A261="","",IFERROR(INDEX(Bestand!$AC$14:$AC$213,MATCH(A261,Bestand!$A$14:$A$213,0)),0))</f>
        <v/>
      </c>
      <c r="N261" s="69">
        <f>IF(OR(H261="",M261&lt;&gt;1),"",C261+ROW()/100000)</f>
        <v/>
      </c>
    </row>
    <row r="262" ht="20" customHeight="1">
      <c r="A262" s="60" t="n"/>
      <c r="B262" s="65">
        <f>IF(A262="","",IFERROR(INDEX(Bestand!$B$14:$B$213,MATCH(A262,Bestand!$A$14:$A$213,0)),"ID unbekannt"))</f>
        <v/>
      </c>
      <c r="C262" s="63" t="n"/>
      <c r="D262" s="62" t="n"/>
      <c r="E262" s="60" t="n"/>
      <c r="F262" s="60" t="n"/>
      <c r="G262" s="61" t="n"/>
      <c r="H262" s="69">
        <f>IF(OR(A262="",C262=""),"",COUNTIFS($A$7:$A$1006,A262,$C$7:$C$1006,"&lt;"&amp;C262)+1)</f>
        <v/>
      </c>
      <c r="I262" s="67">
        <f>IF(H262="","",IF(H262=1,"",C262-_xlfn.MAXIFS($C$7:$C$1006,$A$7:$A$1006,A262,$C$7:$C$1006,"&lt;"&amp;C262)))</f>
        <v/>
      </c>
      <c r="J262" s="68">
        <f>IF(I262="","",I262/TpM)</f>
        <v/>
      </c>
      <c r="K262" s="69">
        <f>IF(H262="","",COUNTIFS($A$7:$A$1006,A262,$C$7:$C$1006,"&gt;0")-H262)</f>
        <v/>
      </c>
      <c r="L262" s="69">
        <f>IF(H262="","",A262&amp;"|"&amp;H262)</f>
        <v/>
      </c>
      <c r="M262" s="69">
        <f>IF(A262="","",IFERROR(INDEX(Bestand!$AC$14:$AC$213,MATCH(A262,Bestand!$A$14:$A$213,0)),0))</f>
        <v/>
      </c>
      <c r="N262" s="69">
        <f>IF(OR(H262="",M262&lt;&gt;1),"",C262+ROW()/100000)</f>
        <v/>
      </c>
    </row>
    <row r="263" ht="20" customHeight="1">
      <c r="A263" s="60" t="n"/>
      <c r="B263" s="65">
        <f>IF(A263="","",IFERROR(INDEX(Bestand!$B$14:$B$213,MATCH(A263,Bestand!$A$14:$A$213,0)),"ID unbekannt"))</f>
        <v/>
      </c>
      <c r="C263" s="63" t="n"/>
      <c r="D263" s="62" t="n"/>
      <c r="E263" s="60" t="n"/>
      <c r="F263" s="60" t="n"/>
      <c r="G263" s="61" t="n"/>
      <c r="H263" s="69">
        <f>IF(OR(A263="",C263=""),"",COUNTIFS($A$7:$A$1006,A263,$C$7:$C$1006,"&lt;"&amp;C263)+1)</f>
        <v/>
      </c>
      <c r="I263" s="67">
        <f>IF(H263="","",IF(H263=1,"",C263-_xlfn.MAXIFS($C$7:$C$1006,$A$7:$A$1006,A263,$C$7:$C$1006,"&lt;"&amp;C263)))</f>
        <v/>
      </c>
      <c r="J263" s="68">
        <f>IF(I263="","",I263/TpM)</f>
        <v/>
      </c>
      <c r="K263" s="69">
        <f>IF(H263="","",COUNTIFS($A$7:$A$1006,A263,$C$7:$C$1006,"&gt;0")-H263)</f>
        <v/>
      </c>
      <c r="L263" s="69">
        <f>IF(H263="","",A263&amp;"|"&amp;H263)</f>
        <v/>
      </c>
      <c r="M263" s="69">
        <f>IF(A263="","",IFERROR(INDEX(Bestand!$AC$14:$AC$213,MATCH(A263,Bestand!$A$14:$A$213,0)),0))</f>
        <v/>
      </c>
      <c r="N263" s="69">
        <f>IF(OR(H263="",M263&lt;&gt;1),"",C263+ROW()/100000)</f>
        <v/>
      </c>
    </row>
    <row r="264" ht="20" customHeight="1">
      <c r="A264" s="60" t="n"/>
      <c r="B264" s="65">
        <f>IF(A264="","",IFERROR(INDEX(Bestand!$B$14:$B$213,MATCH(A264,Bestand!$A$14:$A$213,0)),"ID unbekannt"))</f>
        <v/>
      </c>
      <c r="C264" s="63" t="n"/>
      <c r="D264" s="62" t="n"/>
      <c r="E264" s="60" t="n"/>
      <c r="F264" s="60" t="n"/>
      <c r="G264" s="61" t="n"/>
      <c r="H264" s="69">
        <f>IF(OR(A264="",C264=""),"",COUNTIFS($A$7:$A$1006,A264,$C$7:$C$1006,"&lt;"&amp;C264)+1)</f>
        <v/>
      </c>
      <c r="I264" s="67">
        <f>IF(H264="","",IF(H264=1,"",C264-_xlfn.MAXIFS($C$7:$C$1006,$A$7:$A$1006,A264,$C$7:$C$1006,"&lt;"&amp;C264)))</f>
        <v/>
      </c>
      <c r="J264" s="68">
        <f>IF(I264="","",I264/TpM)</f>
        <v/>
      </c>
      <c r="K264" s="69">
        <f>IF(H264="","",COUNTIFS($A$7:$A$1006,A264,$C$7:$C$1006,"&gt;0")-H264)</f>
        <v/>
      </c>
      <c r="L264" s="69">
        <f>IF(H264="","",A264&amp;"|"&amp;H264)</f>
        <v/>
      </c>
      <c r="M264" s="69">
        <f>IF(A264="","",IFERROR(INDEX(Bestand!$AC$14:$AC$213,MATCH(A264,Bestand!$A$14:$A$213,0)),0))</f>
        <v/>
      </c>
      <c r="N264" s="69">
        <f>IF(OR(H264="",M264&lt;&gt;1),"",C264+ROW()/100000)</f>
        <v/>
      </c>
    </row>
    <row r="265" ht="20" customHeight="1">
      <c r="A265" s="60" t="n"/>
      <c r="B265" s="65">
        <f>IF(A265="","",IFERROR(INDEX(Bestand!$B$14:$B$213,MATCH(A265,Bestand!$A$14:$A$213,0)),"ID unbekannt"))</f>
        <v/>
      </c>
      <c r="C265" s="63" t="n"/>
      <c r="D265" s="62" t="n"/>
      <c r="E265" s="60" t="n"/>
      <c r="F265" s="60" t="n"/>
      <c r="G265" s="61" t="n"/>
      <c r="H265" s="69">
        <f>IF(OR(A265="",C265=""),"",COUNTIFS($A$7:$A$1006,A265,$C$7:$C$1006,"&lt;"&amp;C265)+1)</f>
        <v/>
      </c>
      <c r="I265" s="67">
        <f>IF(H265="","",IF(H265=1,"",C265-_xlfn.MAXIFS($C$7:$C$1006,$A$7:$A$1006,A265,$C$7:$C$1006,"&lt;"&amp;C265)))</f>
        <v/>
      </c>
      <c r="J265" s="68">
        <f>IF(I265="","",I265/TpM)</f>
        <v/>
      </c>
      <c r="K265" s="69">
        <f>IF(H265="","",COUNTIFS($A$7:$A$1006,A265,$C$7:$C$1006,"&gt;0")-H265)</f>
        <v/>
      </c>
      <c r="L265" s="69">
        <f>IF(H265="","",A265&amp;"|"&amp;H265)</f>
        <v/>
      </c>
      <c r="M265" s="69">
        <f>IF(A265="","",IFERROR(INDEX(Bestand!$AC$14:$AC$213,MATCH(A265,Bestand!$A$14:$A$213,0)),0))</f>
        <v/>
      </c>
      <c r="N265" s="69">
        <f>IF(OR(H265="",M265&lt;&gt;1),"",C265+ROW()/100000)</f>
        <v/>
      </c>
    </row>
    <row r="266" ht="20" customHeight="1">
      <c r="A266" s="60" t="n"/>
      <c r="B266" s="65">
        <f>IF(A266="","",IFERROR(INDEX(Bestand!$B$14:$B$213,MATCH(A266,Bestand!$A$14:$A$213,0)),"ID unbekannt"))</f>
        <v/>
      </c>
      <c r="C266" s="63" t="n"/>
      <c r="D266" s="62" t="n"/>
      <c r="E266" s="60" t="n"/>
      <c r="F266" s="60" t="n"/>
      <c r="G266" s="61" t="n"/>
      <c r="H266" s="69">
        <f>IF(OR(A266="",C266=""),"",COUNTIFS($A$7:$A$1006,A266,$C$7:$C$1006,"&lt;"&amp;C266)+1)</f>
        <v/>
      </c>
      <c r="I266" s="67">
        <f>IF(H266="","",IF(H266=1,"",C266-_xlfn.MAXIFS($C$7:$C$1006,$A$7:$A$1006,A266,$C$7:$C$1006,"&lt;"&amp;C266)))</f>
        <v/>
      </c>
      <c r="J266" s="68">
        <f>IF(I266="","",I266/TpM)</f>
        <v/>
      </c>
      <c r="K266" s="69">
        <f>IF(H266="","",COUNTIFS($A$7:$A$1006,A266,$C$7:$C$1006,"&gt;0")-H266)</f>
        <v/>
      </c>
      <c r="L266" s="69">
        <f>IF(H266="","",A266&amp;"|"&amp;H266)</f>
        <v/>
      </c>
      <c r="M266" s="69">
        <f>IF(A266="","",IFERROR(INDEX(Bestand!$AC$14:$AC$213,MATCH(A266,Bestand!$A$14:$A$213,0)),0))</f>
        <v/>
      </c>
      <c r="N266" s="69">
        <f>IF(OR(H266="",M266&lt;&gt;1),"",C266+ROW()/100000)</f>
        <v/>
      </c>
    </row>
    <row r="267" ht="20" customHeight="1">
      <c r="A267" s="60" t="n"/>
      <c r="B267" s="65">
        <f>IF(A267="","",IFERROR(INDEX(Bestand!$B$14:$B$213,MATCH(A267,Bestand!$A$14:$A$213,0)),"ID unbekannt"))</f>
        <v/>
      </c>
      <c r="C267" s="63" t="n"/>
      <c r="D267" s="62" t="n"/>
      <c r="E267" s="60" t="n"/>
      <c r="F267" s="60" t="n"/>
      <c r="G267" s="61" t="n"/>
      <c r="H267" s="69">
        <f>IF(OR(A267="",C267=""),"",COUNTIFS($A$7:$A$1006,A267,$C$7:$C$1006,"&lt;"&amp;C267)+1)</f>
        <v/>
      </c>
      <c r="I267" s="67">
        <f>IF(H267="","",IF(H267=1,"",C267-_xlfn.MAXIFS($C$7:$C$1006,$A$7:$A$1006,A267,$C$7:$C$1006,"&lt;"&amp;C267)))</f>
        <v/>
      </c>
      <c r="J267" s="68">
        <f>IF(I267="","",I267/TpM)</f>
        <v/>
      </c>
      <c r="K267" s="69">
        <f>IF(H267="","",COUNTIFS($A$7:$A$1006,A267,$C$7:$C$1006,"&gt;0")-H267)</f>
        <v/>
      </c>
      <c r="L267" s="69">
        <f>IF(H267="","",A267&amp;"|"&amp;H267)</f>
        <v/>
      </c>
      <c r="M267" s="69">
        <f>IF(A267="","",IFERROR(INDEX(Bestand!$AC$14:$AC$213,MATCH(A267,Bestand!$A$14:$A$213,0)),0))</f>
        <v/>
      </c>
      <c r="N267" s="69">
        <f>IF(OR(H267="",M267&lt;&gt;1),"",C267+ROW()/100000)</f>
        <v/>
      </c>
    </row>
    <row r="268" ht="20" customHeight="1">
      <c r="A268" s="60" t="n"/>
      <c r="B268" s="65">
        <f>IF(A268="","",IFERROR(INDEX(Bestand!$B$14:$B$213,MATCH(A268,Bestand!$A$14:$A$213,0)),"ID unbekannt"))</f>
        <v/>
      </c>
      <c r="C268" s="63" t="n"/>
      <c r="D268" s="62" t="n"/>
      <c r="E268" s="60" t="n"/>
      <c r="F268" s="60" t="n"/>
      <c r="G268" s="61" t="n"/>
      <c r="H268" s="69">
        <f>IF(OR(A268="",C268=""),"",COUNTIFS($A$7:$A$1006,A268,$C$7:$C$1006,"&lt;"&amp;C268)+1)</f>
        <v/>
      </c>
      <c r="I268" s="67">
        <f>IF(H268="","",IF(H268=1,"",C268-_xlfn.MAXIFS($C$7:$C$1006,$A$7:$A$1006,A268,$C$7:$C$1006,"&lt;"&amp;C268)))</f>
        <v/>
      </c>
      <c r="J268" s="68">
        <f>IF(I268="","",I268/TpM)</f>
        <v/>
      </c>
      <c r="K268" s="69">
        <f>IF(H268="","",COUNTIFS($A$7:$A$1006,A268,$C$7:$C$1006,"&gt;0")-H268)</f>
        <v/>
      </c>
      <c r="L268" s="69">
        <f>IF(H268="","",A268&amp;"|"&amp;H268)</f>
        <v/>
      </c>
      <c r="M268" s="69">
        <f>IF(A268="","",IFERROR(INDEX(Bestand!$AC$14:$AC$213,MATCH(A268,Bestand!$A$14:$A$213,0)),0))</f>
        <v/>
      </c>
      <c r="N268" s="69">
        <f>IF(OR(H268="",M268&lt;&gt;1),"",C268+ROW()/100000)</f>
        <v/>
      </c>
    </row>
    <row r="269" ht="20" customHeight="1">
      <c r="A269" s="60" t="n"/>
      <c r="B269" s="65">
        <f>IF(A269="","",IFERROR(INDEX(Bestand!$B$14:$B$213,MATCH(A269,Bestand!$A$14:$A$213,0)),"ID unbekannt"))</f>
        <v/>
      </c>
      <c r="C269" s="63" t="n"/>
      <c r="D269" s="62" t="n"/>
      <c r="E269" s="60" t="n"/>
      <c r="F269" s="60" t="n"/>
      <c r="G269" s="61" t="n"/>
      <c r="H269" s="69">
        <f>IF(OR(A269="",C269=""),"",COUNTIFS($A$7:$A$1006,A269,$C$7:$C$1006,"&lt;"&amp;C269)+1)</f>
        <v/>
      </c>
      <c r="I269" s="67">
        <f>IF(H269="","",IF(H269=1,"",C269-_xlfn.MAXIFS($C$7:$C$1006,$A$7:$A$1006,A269,$C$7:$C$1006,"&lt;"&amp;C269)))</f>
        <v/>
      </c>
      <c r="J269" s="68">
        <f>IF(I269="","",I269/TpM)</f>
        <v/>
      </c>
      <c r="K269" s="69">
        <f>IF(H269="","",COUNTIFS($A$7:$A$1006,A269,$C$7:$C$1006,"&gt;0")-H269)</f>
        <v/>
      </c>
      <c r="L269" s="69">
        <f>IF(H269="","",A269&amp;"|"&amp;H269)</f>
        <v/>
      </c>
      <c r="M269" s="69">
        <f>IF(A269="","",IFERROR(INDEX(Bestand!$AC$14:$AC$213,MATCH(A269,Bestand!$A$14:$A$213,0)),0))</f>
        <v/>
      </c>
      <c r="N269" s="69">
        <f>IF(OR(H269="",M269&lt;&gt;1),"",C269+ROW()/100000)</f>
        <v/>
      </c>
    </row>
    <row r="270" ht="20" customHeight="1">
      <c r="A270" s="60" t="n"/>
      <c r="B270" s="65">
        <f>IF(A270="","",IFERROR(INDEX(Bestand!$B$14:$B$213,MATCH(A270,Bestand!$A$14:$A$213,0)),"ID unbekannt"))</f>
        <v/>
      </c>
      <c r="C270" s="63" t="n"/>
      <c r="D270" s="62" t="n"/>
      <c r="E270" s="60" t="n"/>
      <c r="F270" s="60" t="n"/>
      <c r="G270" s="61" t="n"/>
      <c r="H270" s="69">
        <f>IF(OR(A270="",C270=""),"",COUNTIFS($A$7:$A$1006,A270,$C$7:$C$1006,"&lt;"&amp;C270)+1)</f>
        <v/>
      </c>
      <c r="I270" s="67">
        <f>IF(H270="","",IF(H270=1,"",C270-_xlfn.MAXIFS($C$7:$C$1006,$A$7:$A$1006,A270,$C$7:$C$1006,"&lt;"&amp;C270)))</f>
        <v/>
      </c>
      <c r="J270" s="68">
        <f>IF(I270="","",I270/TpM)</f>
        <v/>
      </c>
      <c r="K270" s="69">
        <f>IF(H270="","",COUNTIFS($A$7:$A$1006,A270,$C$7:$C$1006,"&gt;0")-H270)</f>
        <v/>
      </c>
      <c r="L270" s="69">
        <f>IF(H270="","",A270&amp;"|"&amp;H270)</f>
        <v/>
      </c>
      <c r="M270" s="69">
        <f>IF(A270="","",IFERROR(INDEX(Bestand!$AC$14:$AC$213,MATCH(A270,Bestand!$A$14:$A$213,0)),0))</f>
        <v/>
      </c>
      <c r="N270" s="69">
        <f>IF(OR(H270="",M270&lt;&gt;1),"",C270+ROW()/100000)</f>
        <v/>
      </c>
    </row>
    <row r="271" ht="20" customHeight="1">
      <c r="A271" s="60" t="n"/>
      <c r="B271" s="65">
        <f>IF(A271="","",IFERROR(INDEX(Bestand!$B$14:$B$213,MATCH(A271,Bestand!$A$14:$A$213,0)),"ID unbekannt"))</f>
        <v/>
      </c>
      <c r="C271" s="63" t="n"/>
      <c r="D271" s="62" t="n"/>
      <c r="E271" s="60" t="n"/>
      <c r="F271" s="60" t="n"/>
      <c r="G271" s="61" t="n"/>
      <c r="H271" s="69">
        <f>IF(OR(A271="",C271=""),"",COUNTIFS($A$7:$A$1006,A271,$C$7:$C$1006,"&lt;"&amp;C271)+1)</f>
        <v/>
      </c>
      <c r="I271" s="67">
        <f>IF(H271="","",IF(H271=1,"",C271-_xlfn.MAXIFS($C$7:$C$1006,$A$7:$A$1006,A271,$C$7:$C$1006,"&lt;"&amp;C271)))</f>
        <v/>
      </c>
      <c r="J271" s="68">
        <f>IF(I271="","",I271/TpM)</f>
        <v/>
      </c>
      <c r="K271" s="69">
        <f>IF(H271="","",COUNTIFS($A$7:$A$1006,A271,$C$7:$C$1006,"&gt;0")-H271)</f>
        <v/>
      </c>
      <c r="L271" s="69">
        <f>IF(H271="","",A271&amp;"|"&amp;H271)</f>
        <v/>
      </c>
      <c r="M271" s="69">
        <f>IF(A271="","",IFERROR(INDEX(Bestand!$AC$14:$AC$213,MATCH(A271,Bestand!$A$14:$A$213,0)),0))</f>
        <v/>
      </c>
      <c r="N271" s="69">
        <f>IF(OR(H271="",M271&lt;&gt;1),"",C271+ROW()/100000)</f>
        <v/>
      </c>
    </row>
    <row r="272" ht="20" customHeight="1">
      <c r="A272" s="60" t="n"/>
      <c r="B272" s="65">
        <f>IF(A272="","",IFERROR(INDEX(Bestand!$B$14:$B$213,MATCH(A272,Bestand!$A$14:$A$213,0)),"ID unbekannt"))</f>
        <v/>
      </c>
      <c r="C272" s="63" t="n"/>
      <c r="D272" s="62" t="n"/>
      <c r="E272" s="60" t="n"/>
      <c r="F272" s="60" t="n"/>
      <c r="G272" s="61" t="n"/>
      <c r="H272" s="69">
        <f>IF(OR(A272="",C272=""),"",COUNTIFS($A$7:$A$1006,A272,$C$7:$C$1006,"&lt;"&amp;C272)+1)</f>
        <v/>
      </c>
      <c r="I272" s="67">
        <f>IF(H272="","",IF(H272=1,"",C272-_xlfn.MAXIFS($C$7:$C$1006,$A$7:$A$1006,A272,$C$7:$C$1006,"&lt;"&amp;C272)))</f>
        <v/>
      </c>
      <c r="J272" s="68">
        <f>IF(I272="","",I272/TpM)</f>
        <v/>
      </c>
      <c r="K272" s="69">
        <f>IF(H272="","",COUNTIFS($A$7:$A$1006,A272,$C$7:$C$1006,"&gt;0")-H272)</f>
        <v/>
      </c>
      <c r="L272" s="69">
        <f>IF(H272="","",A272&amp;"|"&amp;H272)</f>
        <v/>
      </c>
      <c r="M272" s="69">
        <f>IF(A272="","",IFERROR(INDEX(Bestand!$AC$14:$AC$213,MATCH(A272,Bestand!$A$14:$A$213,0)),0))</f>
        <v/>
      </c>
      <c r="N272" s="69">
        <f>IF(OR(H272="",M272&lt;&gt;1),"",C272+ROW()/100000)</f>
        <v/>
      </c>
    </row>
    <row r="273" ht="20" customHeight="1">
      <c r="A273" s="60" t="n"/>
      <c r="B273" s="65">
        <f>IF(A273="","",IFERROR(INDEX(Bestand!$B$14:$B$213,MATCH(A273,Bestand!$A$14:$A$213,0)),"ID unbekannt"))</f>
        <v/>
      </c>
      <c r="C273" s="63" t="n"/>
      <c r="D273" s="62" t="n"/>
      <c r="E273" s="60" t="n"/>
      <c r="F273" s="60" t="n"/>
      <c r="G273" s="61" t="n"/>
      <c r="H273" s="69">
        <f>IF(OR(A273="",C273=""),"",COUNTIFS($A$7:$A$1006,A273,$C$7:$C$1006,"&lt;"&amp;C273)+1)</f>
        <v/>
      </c>
      <c r="I273" s="67">
        <f>IF(H273="","",IF(H273=1,"",C273-_xlfn.MAXIFS($C$7:$C$1006,$A$7:$A$1006,A273,$C$7:$C$1006,"&lt;"&amp;C273)))</f>
        <v/>
      </c>
      <c r="J273" s="68">
        <f>IF(I273="","",I273/TpM)</f>
        <v/>
      </c>
      <c r="K273" s="69">
        <f>IF(H273="","",COUNTIFS($A$7:$A$1006,A273,$C$7:$C$1006,"&gt;0")-H273)</f>
        <v/>
      </c>
      <c r="L273" s="69">
        <f>IF(H273="","",A273&amp;"|"&amp;H273)</f>
        <v/>
      </c>
      <c r="M273" s="69">
        <f>IF(A273="","",IFERROR(INDEX(Bestand!$AC$14:$AC$213,MATCH(A273,Bestand!$A$14:$A$213,0)),0))</f>
        <v/>
      </c>
      <c r="N273" s="69">
        <f>IF(OR(H273="",M273&lt;&gt;1),"",C273+ROW()/100000)</f>
        <v/>
      </c>
    </row>
    <row r="274" ht="20" customHeight="1">
      <c r="A274" s="60" t="n"/>
      <c r="B274" s="65">
        <f>IF(A274="","",IFERROR(INDEX(Bestand!$B$14:$B$213,MATCH(A274,Bestand!$A$14:$A$213,0)),"ID unbekannt"))</f>
        <v/>
      </c>
      <c r="C274" s="63" t="n"/>
      <c r="D274" s="62" t="n"/>
      <c r="E274" s="60" t="n"/>
      <c r="F274" s="60" t="n"/>
      <c r="G274" s="61" t="n"/>
      <c r="H274" s="69">
        <f>IF(OR(A274="",C274=""),"",COUNTIFS($A$7:$A$1006,A274,$C$7:$C$1006,"&lt;"&amp;C274)+1)</f>
        <v/>
      </c>
      <c r="I274" s="67">
        <f>IF(H274="","",IF(H274=1,"",C274-_xlfn.MAXIFS($C$7:$C$1006,$A$7:$A$1006,A274,$C$7:$C$1006,"&lt;"&amp;C274)))</f>
        <v/>
      </c>
      <c r="J274" s="68">
        <f>IF(I274="","",I274/TpM)</f>
        <v/>
      </c>
      <c r="K274" s="69">
        <f>IF(H274="","",COUNTIFS($A$7:$A$1006,A274,$C$7:$C$1006,"&gt;0")-H274)</f>
        <v/>
      </c>
      <c r="L274" s="69">
        <f>IF(H274="","",A274&amp;"|"&amp;H274)</f>
        <v/>
      </c>
      <c r="M274" s="69">
        <f>IF(A274="","",IFERROR(INDEX(Bestand!$AC$14:$AC$213,MATCH(A274,Bestand!$A$14:$A$213,0)),0))</f>
        <v/>
      </c>
      <c r="N274" s="69">
        <f>IF(OR(H274="",M274&lt;&gt;1),"",C274+ROW()/100000)</f>
        <v/>
      </c>
    </row>
    <row r="275" ht="20" customHeight="1">
      <c r="A275" s="60" t="n"/>
      <c r="B275" s="65">
        <f>IF(A275="","",IFERROR(INDEX(Bestand!$B$14:$B$213,MATCH(A275,Bestand!$A$14:$A$213,0)),"ID unbekannt"))</f>
        <v/>
      </c>
      <c r="C275" s="63" t="n"/>
      <c r="D275" s="62" t="n"/>
      <c r="E275" s="60" t="n"/>
      <c r="F275" s="60" t="n"/>
      <c r="G275" s="61" t="n"/>
      <c r="H275" s="69">
        <f>IF(OR(A275="",C275=""),"",COUNTIFS($A$7:$A$1006,A275,$C$7:$C$1006,"&lt;"&amp;C275)+1)</f>
        <v/>
      </c>
      <c r="I275" s="67">
        <f>IF(H275="","",IF(H275=1,"",C275-_xlfn.MAXIFS($C$7:$C$1006,$A$7:$A$1006,A275,$C$7:$C$1006,"&lt;"&amp;C275)))</f>
        <v/>
      </c>
      <c r="J275" s="68">
        <f>IF(I275="","",I275/TpM)</f>
        <v/>
      </c>
      <c r="K275" s="69">
        <f>IF(H275="","",COUNTIFS($A$7:$A$1006,A275,$C$7:$C$1006,"&gt;0")-H275)</f>
        <v/>
      </c>
      <c r="L275" s="69">
        <f>IF(H275="","",A275&amp;"|"&amp;H275)</f>
        <v/>
      </c>
      <c r="M275" s="69">
        <f>IF(A275="","",IFERROR(INDEX(Bestand!$AC$14:$AC$213,MATCH(A275,Bestand!$A$14:$A$213,0)),0))</f>
        <v/>
      </c>
      <c r="N275" s="69">
        <f>IF(OR(H275="",M275&lt;&gt;1),"",C275+ROW()/100000)</f>
        <v/>
      </c>
    </row>
    <row r="276" ht="20" customHeight="1">
      <c r="A276" s="60" t="n"/>
      <c r="B276" s="65">
        <f>IF(A276="","",IFERROR(INDEX(Bestand!$B$14:$B$213,MATCH(A276,Bestand!$A$14:$A$213,0)),"ID unbekannt"))</f>
        <v/>
      </c>
      <c r="C276" s="63" t="n"/>
      <c r="D276" s="62" t="n"/>
      <c r="E276" s="60" t="n"/>
      <c r="F276" s="60" t="n"/>
      <c r="G276" s="61" t="n"/>
      <c r="H276" s="69">
        <f>IF(OR(A276="",C276=""),"",COUNTIFS($A$7:$A$1006,A276,$C$7:$C$1006,"&lt;"&amp;C276)+1)</f>
        <v/>
      </c>
      <c r="I276" s="67">
        <f>IF(H276="","",IF(H276=1,"",C276-_xlfn.MAXIFS($C$7:$C$1006,$A$7:$A$1006,A276,$C$7:$C$1006,"&lt;"&amp;C276)))</f>
        <v/>
      </c>
      <c r="J276" s="68">
        <f>IF(I276="","",I276/TpM)</f>
        <v/>
      </c>
      <c r="K276" s="69">
        <f>IF(H276="","",COUNTIFS($A$7:$A$1006,A276,$C$7:$C$1006,"&gt;0")-H276)</f>
        <v/>
      </c>
      <c r="L276" s="69">
        <f>IF(H276="","",A276&amp;"|"&amp;H276)</f>
        <v/>
      </c>
      <c r="M276" s="69">
        <f>IF(A276="","",IFERROR(INDEX(Bestand!$AC$14:$AC$213,MATCH(A276,Bestand!$A$14:$A$213,0)),0))</f>
        <v/>
      </c>
      <c r="N276" s="69">
        <f>IF(OR(H276="",M276&lt;&gt;1),"",C276+ROW()/100000)</f>
        <v/>
      </c>
    </row>
    <row r="277" ht="20" customHeight="1">
      <c r="A277" s="60" t="n"/>
      <c r="B277" s="65">
        <f>IF(A277="","",IFERROR(INDEX(Bestand!$B$14:$B$213,MATCH(A277,Bestand!$A$14:$A$213,0)),"ID unbekannt"))</f>
        <v/>
      </c>
      <c r="C277" s="63" t="n"/>
      <c r="D277" s="62" t="n"/>
      <c r="E277" s="60" t="n"/>
      <c r="F277" s="60" t="n"/>
      <c r="G277" s="61" t="n"/>
      <c r="H277" s="69">
        <f>IF(OR(A277="",C277=""),"",COUNTIFS($A$7:$A$1006,A277,$C$7:$C$1006,"&lt;"&amp;C277)+1)</f>
        <v/>
      </c>
      <c r="I277" s="67">
        <f>IF(H277="","",IF(H277=1,"",C277-_xlfn.MAXIFS($C$7:$C$1006,$A$7:$A$1006,A277,$C$7:$C$1006,"&lt;"&amp;C277)))</f>
        <v/>
      </c>
      <c r="J277" s="68">
        <f>IF(I277="","",I277/TpM)</f>
        <v/>
      </c>
      <c r="K277" s="69">
        <f>IF(H277="","",COUNTIFS($A$7:$A$1006,A277,$C$7:$C$1006,"&gt;0")-H277)</f>
        <v/>
      </c>
      <c r="L277" s="69">
        <f>IF(H277="","",A277&amp;"|"&amp;H277)</f>
        <v/>
      </c>
      <c r="M277" s="69">
        <f>IF(A277="","",IFERROR(INDEX(Bestand!$AC$14:$AC$213,MATCH(A277,Bestand!$A$14:$A$213,0)),0))</f>
        <v/>
      </c>
      <c r="N277" s="69">
        <f>IF(OR(H277="",M277&lt;&gt;1),"",C277+ROW()/100000)</f>
        <v/>
      </c>
    </row>
    <row r="278" ht="20" customHeight="1">
      <c r="A278" s="60" t="n"/>
      <c r="B278" s="65">
        <f>IF(A278="","",IFERROR(INDEX(Bestand!$B$14:$B$213,MATCH(A278,Bestand!$A$14:$A$213,0)),"ID unbekannt"))</f>
        <v/>
      </c>
      <c r="C278" s="63" t="n"/>
      <c r="D278" s="62" t="n"/>
      <c r="E278" s="60" t="n"/>
      <c r="F278" s="60" t="n"/>
      <c r="G278" s="61" t="n"/>
      <c r="H278" s="69">
        <f>IF(OR(A278="",C278=""),"",COUNTIFS($A$7:$A$1006,A278,$C$7:$C$1006,"&lt;"&amp;C278)+1)</f>
        <v/>
      </c>
      <c r="I278" s="67">
        <f>IF(H278="","",IF(H278=1,"",C278-_xlfn.MAXIFS($C$7:$C$1006,$A$7:$A$1006,A278,$C$7:$C$1006,"&lt;"&amp;C278)))</f>
        <v/>
      </c>
      <c r="J278" s="68">
        <f>IF(I278="","",I278/TpM)</f>
        <v/>
      </c>
      <c r="K278" s="69">
        <f>IF(H278="","",COUNTIFS($A$7:$A$1006,A278,$C$7:$C$1006,"&gt;0")-H278)</f>
        <v/>
      </c>
      <c r="L278" s="69">
        <f>IF(H278="","",A278&amp;"|"&amp;H278)</f>
        <v/>
      </c>
      <c r="M278" s="69">
        <f>IF(A278="","",IFERROR(INDEX(Bestand!$AC$14:$AC$213,MATCH(A278,Bestand!$A$14:$A$213,0)),0))</f>
        <v/>
      </c>
      <c r="N278" s="69">
        <f>IF(OR(H278="",M278&lt;&gt;1),"",C278+ROW()/100000)</f>
        <v/>
      </c>
    </row>
    <row r="279" ht="20" customHeight="1">
      <c r="A279" s="60" t="n"/>
      <c r="B279" s="65">
        <f>IF(A279="","",IFERROR(INDEX(Bestand!$B$14:$B$213,MATCH(A279,Bestand!$A$14:$A$213,0)),"ID unbekannt"))</f>
        <v/>
      </c>
      <c r="C279" s="63" t="n"/>
      <c r="D279" s="62" t="n"/>
      <c r="E279" s="60" t="n"/>
      <c r="F279" s="60" t="n"/>
      <c r="G279" s="61" t="n"/>
      <c r="H279" s="69">
        <f>IF(OR(A279="",C279=""),"",COUNTIFS($A$7:$A$1006,A279,$C$7:$C$1006,"&lt;"&amp;C279)+1)</f>
        <v/>
      </c>
      <c r="I279" s="67">
        <f>IF(H279="","",IF(H279=1,"",C279-_xlfn.MAXIFS($C$7:$C$1006,$A$7:$A$1006,A279,$C$7:$C$1006,"&lt;"&amp;C279)))</f>
        <v/>
      </c>
      <c r="J279" s="68">
        <f>IF(I279="","",I279/TpM)</f>
        <v/>
      </c>
      <c r="K279" s="69">
        <f>IF(H279="","",COUNTIFS($A$7:$A$1006,A279,$C$7:$C$1006,"&gt;0")-H279)</f>
        <v/>
      </c>
      <c r="L279" s="69">
        <f>IF(H279="","",A279&amp;"|"&amp;H279)</f>
        <v/>
      </c>
      <c r="M279" s="69">
        <f>IF(A279="","",IFERROR(INDEX(Bestand!$AC$14:$AC$213,MATCH(A279,Bestand!$A$14:$A$213,0)),0))</f>
        <v/>
      </c>
      <c r="N279" s="69">
        <f>IF(OR(H279="",M279&lt;&gt;1),"",C279+ROW()/100000)</f>
        <v/>
      </c>
    </row>
    <row r="280" ht="20" customHeight="1">
      <c r="A280" s="60" t="n"/>
      <c r="B280" s="65">
        <f>IF(A280="","",IFERROR(INDEX(Bestand!$B$14:$B$213,MATCH(A280,Bestand!$A$14:$A$213,0)),"ID unbekannt"))</f>
        <v/>
      </c>
      <c r="C280" s="63" t="n"/>
      <c r="D280" s="62" t="n"/>
      <c r="E280" s="60" t="n"/>
      <c r="F280" s="60" t="n"/>
      <c r="G280" s="61" t="n"/>
      <c r="H280" s="69">
        <f>IF(OR(A280="",C280=""),"",COUNTIFS($A$7:$A$1006,A280,$C$7:$C$1006,"&lt;"&amp;C280)+1)</f>
        <v/>
      </c>
      <c r="I280" s="67">
        <f>IF(H280="","",IF(H280=1,"",C280-_xlfn.MAXIFS($C$7:$C$1006,$A$7:$A$1006,A280,$C$7:$C$1006,"&lt;"&amp;C280)))</f>
        <v/>
      </c>
      <c r="J280" s="68">
        <f>IF(I280="","",I280/TpM)</f>
        <v/>
      </c>
      <c r="K280" s="69">
        <f>IF(H280="","",COUNTIFS($A$7:$A$1006,A280,$C$7:$C$1006,"&gt;0")-H280)</f>
        <v/>
      </c>
      <c r="L280" s="69">
        <f>IF(H280="","",A280&amp;"|"&amp;H280)</f>
        <v/>
      </c>
      <c r="M280" s="69">
        <f>IF(A280="","",IFERROR(INDEX(Bestand!$AC$14:$AC$213,MATCH(A280,Bestand!$A$14:$A$213,0)),0))</f>
        <v/>
      </c>
      <c r="N280" s="69">
        <f>IF(OR(H280="",M280&lt;&gt;1),"",C280+ROW()/100000)</f>
        <v/>
      </c>
    </row>
    <row r="281" ht="20" customHeight="1">
      <c r="A281" s="60" t="n"/>
      <c r="B281" s="65">
        <f>IF(A281="","",IFERROR(INDEX(Bestand!$B$14:$B$213,MATCH(A281,Bestand!$A$14:$A$213,0)),"ID unbekannt"))</f>
        <v/>
      </c>
      <c r="C281" s="63" t="n"/>
      <c r="D281" s="62" t="n"/>
      <c r="E281" s="60" t="n"/>
      <c r="F281" s="60" t="n"/>
      <c r="G281" s="61" t="n"/>
      <c r="H281" s="69">
        <f>IF(OR(A281="",C281=""),"",COUNTIFS($A$7:$A$1006,A281,$C$7:$C$1006,"&lt;"&amp;C281)+1)</f>
        <v/>
      </c>
      <c r="I281" s="67">
        <f>IF(H281="","",IF(H281=1,"",C281-_xlfn.MAXIFS($C$7:$C$1006,$A$7:$A$1006,A281,$C$7:$C$1006,"&lt;"&amp;C281)))</f>
        <v/>
      </c>
      <c r="J281" s="68">
        <f>IF(I281="","",I281/TpM)</f>
        <v/>
      </c>
      <c r="K281" s="69">
        <f>IF(H281="","",COUNTIFS($A$7:$A$1006,A281,$C$7:$C$1006,"&gt;0")-H281)</f>
        <v/>
      </c>
      <c r="L281" s="69">
        <f>IF(H281="","",A281&amp;"|"&amp;H281)</f>
        <v/>
      </c>
      <c r="M281" s="69">
        <f>IF(A281="","",IFERROR(INDEX(Bestand!$AC$14:$AC$213,MATCH(A281,Bestand!$A$14:$A$213,0)),0))</f>
        <v/>
      </c>
      <c r="N281" s="69">
        <f>IF(OR(H281="",M281&lt;&gt;1),"",C281+ROW()/100000)</f>
        <v/>
      </c>
    </row>
    <row r="282" ht="20" customHeight="1">
      <c r="A282" s="60" t="n"/>
      <c r="B282" s="65">
        <f>IF(A282="","",IFERROR(INDEX(Bestand!$B$14:$B$213,MATCH(A282,Bestand!$A$14:$A$213,0)),"ID unbekannt"))</f>
        <v/>
      </c>
      <c r="C282" s="63" t="n"/>
      <c r="D282" s="62" t="n"/>
      <c r="E282" s="60" t="n"/>
      <c r="F282" s="60" t="n"/>
      <c r="G282" s="61" t="n"/>
      <c r="H282" s="69">
        <f>IF(OR(A282="",C282=""),"",COUNTIFS($A$7:$A$1006,A282,$C$7:$C$1006,"&lt;"&amp;C282)+1)</f>
        <v/>
      </c>
      <c r="I282" s="67">
        <f>IF(H282="","",IF(H282=1,"",C282-_xlfn.MAXIFS($C$7:$C$1006,$A$7:$A$1006,A282,$C$7:$C$1006,"&lt;"&amp;C282)))</f>
        <v/>
      </c>
      <c r="J282" s="68">
        <f>IF(I282="","",I282/TpM)</f>
        <v/>
      </c>
      <c r="K282" s="69">
        <f>IF(H282="","",COUNTIFS($A$7:$A$1006,A282,$C$7:$C$1006,"&gt;0")-H282)</f>
        <v/>
      </c>
      <c r="L282" s="69">
        <f>IF(H282="","",A282&amp;"|"&amp;H282)</f>
        <v/>
      </c>
      <c r="M282" s="69">
        <f>IF(A282="","",IFERROR(INDEX(Bestand!$AC$14:$AC$213,MATCH(A282,Bestand!$A$14:$A$213,0)),0))</f>
        <v/>
      </c>
      <c r="N282" s="69">
        <f>IF(OR(H282="",M282&lt;&gt;1),"",C282+ROW()/100000)</f>
        <v/>
      </c>
    </row>
    <row r="283" ht="20" customHeight="1">
      <c r="A283" s="60" t="n"/>
      <c r="B283" s="65">
        <f>IF(A283="","",IFERROR(INDEX(Bestand!$B$14:$B$213,MATCH(A283,Bestand!$A$14:$A$213,0)),"ID unbekannt"))</f>
        <v/>
      </c>
      <c r="C283" s="63" t="n"/>
      <c r="D283" s="62" t="n"/>
      <c r="E283" s="60" t="n"/>
      <c r="F283" s="60" t="n"/>
      <c r="G283" s="61" t="n"/>
      <c r="H283" s="69">
        <f>IF(OR(A283="",C283=""),"",COUNTIFS($A$7:$A$1006,A283,$C$7:$C$1006,"&lt;"&amp;C283)+1)</f>
        <v/>
      </c>
      <c r="I283" s="67">
        <f>IF(H283="","",IF(H283=1,"",C283-_xlfn.MAXIFS($C$7:$C$1006,$A$7:$A$1006,A283,$C$7:$C$1006,"&lt;"&amp;C283)))</f>
        <v/>
      </c>
      <c r="J283" s="68">
        <f>IF(I283="","",I283/TpM)</f>
        <v/>
      </c>
      <c r="K283" s="69">
        <f>IF(H283="","",COUNTIFS($A$7:$A$1006,A283,$C$7:$C$1006,"&gt;0")-H283)</f>
        <v/>
      </c>
      <c r="L283" s="69">
        <f>IF(H283="","",A283&amp;"|"&amp;H283)</f>
        <v/>
      </c>
      <c r="M283" s="69">
        <f>IF(A283="","",IFERROR(INDEX(Bestand!$AC$14:$AC$213,MATCH(A283,Bestand!$A$14:$A$213,0)),0))</f>
        <v/>
      </c>
      <c r="N283" s="69">
        <f>IF(OR(H283="",M283&lt;&gt;1),"",C283+ROW()/100000)</f>
        <v/>
      </c>
    </row>
    <row r="284" ht="20" customHeight="1">
      <c r="A284" s="60" t="n"/>
      <c r="B284" s="65">
        <f>IF(A284="","",IFERROR(INDEX(Bestand!$B$14:$B$213,MATCH(A284,Bestand!$A$14:$A$213,0)),"ID unbekannt"))</f>
        <v/>
      </c>
      <c r="C284" s="63" t="n"/>
      <c r="D284" s="62" t="n"/>
      <c r="E284" s="60" t="n"/>
      <c r="F284" s="60" t="n"/>
      <c r="G284" s="61" t="n"/>
      <c r="H284" s="69">
        <f>IF(OR(A284="",C284=""),"",COUNTIFS($A$7:$A$1006,A284,$C$7:$C$1006,"&lt;"&amp;C284)+1)</f>
        <v/>
      </c>
      <c r="I284" s="67">
        <f>IF(H284="","",IF(H284=1,"",C284-_xlfn.MAXIFS($C$7:$C$1006,$A$7:$A$1006,A284,$C$7:$C$1006,"&lt;"&amp;C284)))</f>
        <v/>
      </c>
      <c r="J284" s="68">
        <f>IF(I284="","",I284/TpM)</f>
        <v/>
      </c>
      <c r="K284" s="69">
        <f>IF(H284="","",COUNTIFS($A$7:$A$1006,A284,$C$7:$C$1006,"&gt;0")-H284)</f>
        <v/>
      </c>
      <c r="L284" s="69">
        <f>IF(H284="","",A284&amp;"|"&amp;H284)</f>
        <v/>
      </c>
      <c r="M284" s="69">
        <f>IF(A284="","",IFERROR(INDEX(Bestand!$AC$14:$AC$213,MATCH(A284,Bestand!$A$14:$A$213,0)),0))</f>
        <v/>
      </c>
      <c r="N284" s="69">
        <f>IF(OR(H284="",M284&lt;&gt;1),"",C284+ROW()/100000)</f>
        <v/>
      </c>
    </row>
    <row r="285" ht="20" customHeight="1">
      <c r="A285" s="60" t="n"/>
      <c r="B285" s="65">
        <f>IF(A285="","",IFERROR(INDEX(Bestand!$B$14:$B$213,MATCH(A285,Bestand!$A$14:$A$213,0)),"ID unbekannt"))</f>
        <v/>
      </c>
      <c r="C285" s="63" t="n"/>
      <c r="D285" s="62" t="n"/>
      <c r="E285" s="60" t="n"/>
      <c r="F285" s="60" t="n"/>
      <c r="G285" s="61" t="n"/>
      <c r="H285" s="69">
        <f>IF(OR(A285="",C285=""),"",COUNTIFS($A$7:$A$1006,A285,$C$7:$C$1006,"&lt;"&amp;C285)+1)</f>
        <v/>
      </c>
      <c r="I285" s="67">
        <f>IF(H285="","",IF(H285=1,"",C285-_xlfn.MAXIFS($C$7:$C$1006,$A$7:$A$1006,A285,$C$7:$C$1006,"&lt;"&amp;C285)))</f>
        <v/>
      </c>
      <c r="J285" s="68">
        <f>IF(I285="","",I285/TpM)</f>
        <v/>
      </c>
      <c r="K285" s="69">
        <f>IF(H285="","",COUNTIFS($A$7:$A$1006,A285,$C$7:$C$1006,"&gt;0")-H285)</f>
        <v/>
      </c>
      <c r="L285" s="69">
        <f>IF(H285="","",A285&amp;"|"&amp;H285)</f>
        <v/>
      </c>
      <c r="M285" s="69">
        <f>IF(A285="","",IFERROR(INDEX(Bestand!$AC$14:$AC$213,MATCH(A285,Bestand!$A$14:$A$213,0)),0))</f>
        <v/>
      </c>
      <c r="N285" s="69">
        <f>IF(OR(H285="",M285&lt;&gt;1),"",C285+ROW()/100000)</f>
        <v/>
      </c>
    </row>
    <row r="286" ht="20" customHeight="1">
      <c r="A286" s="60" t="n"/>
      <c r="B286" s="65">
        <f>IF(A286="","",IFERROR(INDEX(Bestand!$B$14:$B$213,MATCH(A286,Bestand!$A$14:$A$213,0)),"ID unbekannt"))</f>
        <v/>
      </c>
      <c r="C286" s="63" t="n"/>
      <c r="D286" s="62" t="n"/>
      <c r="E286" s="60" t="n"/>
      <c r="F286" s="60" t="n"/>
      <c r="G286" s="61" t="n"/>
      <c r="H286" s="69">
        <f>IF(OR(A286="",C286=""),"",COUNTIFS($A$7:$A$1006,A286,$C$7:$C$1006,"&lt;"&amp;C286)+1)</f>
        <v/>
      </c>
      <c r="I286" s="67">
        <f>IF(H286="","",IF(H286=1,"",C286-_xlfn.MAXIFS($C$7:$C$1006,$A$7:$A$1006,A286,$C$7:$C$1006,"&lt;"&amp;C286)))</f>
        <v/>
      </c>
      <c r="J286" s="68">
        <f>IF(I286="","",I286/TpM)</f>
        <v/>
      </c>
      <c r="K286" s="69">
        <f>IF(H286="","",COUNTIFS($A$7:$A$1006,A286,$C$7:$C$1006,"&gt;0")-H286)</f>
        <v/>
      </c>
      <c r="L286" s="69">
        <f>IF(H286="","",A286&amp;"|"&amp;H286)</f>
        <v/>
      </c>
      <c r="M286" s="69">
        <f>IF(A286="","",IFERROR(INDEX(Bestand!$AC$14:$AC$213,MATCH(A286,Bestand!$A$14:$A$213,0)),0))</f>
        <v/>
      </c>
      <c r="N286" s="69">
        <f>IF(OR(H286="",M286&lt;&gt;1),"",C286+ROW()/100000)</f>
        <v/>
      </c>
    </row>
    <row r="287" ht="20" customHeight="1">
      <c r="A287" s="60" t="n"/>
      <c r="B287" s="65">
        <f>IF(A287="","",IFERROR(INDEX(Bestand!$B$14:$B$213,MATCH(A287,Bestand!$A$14:$A$213,0)),"ID unbekannt"))</f>
        <v/>
      </c>
      <c r="C287" s="63" t="n"/>
      <c r="D287" s="62" t="n"/>
      <c r="E287" s="60" t="n"/>
      <c r="F287" s="60" t="n"/>
      <c r="G287" s="61" t="n"/>
      <c r="H287" s="69">
        <f>IF(OR(A287="",C287=""),"",COUNTIFS($A$7:$A$1006,A287,$C$7:$C$1006,"&lt;"&amp;C287)+1)</f>
        <v/>
      </c>
      <c r="I287" s="67">
        <f>IF(H287="","",IF(H287=1,"",C287-_xlfn.MAXIFS($C$7:$C$1006,$A$7:$A$1006,A287,$C$7:$C$1006,"&lt;"&amp;C287)))</f>
        <v/>
      </c>
      <c r="J287" s="68">
        <f>IF(I287="","",I287/TpM)</f>
        <v/>
      </c>
      <c r="K287" s="69">
        <f>IF(H287="","",COUNTIFS($A$7:$A$1006,A287,$C$7:$C$1006,"&gt;0")-H287)</f>
        <v/>
      </c>
      <c r="L287" s="69">
        <f>IF(H287="","",A287&amp;"|"&amp;H287)</f>
        <v/>
      </c>
      <c r="M287" s="69">
        <f>IF(A287="","",IFERROR(INDEX(Bestand!$AC$14:$AC$213,MATCH(A287,Bestand!$A$14:$A$213,0)),0))</f>
        <v/>
      </c>
      <c r="N287" s="69">
        <f>IF(OR(H287="",M287&lt;&gt;1),"",C287+ROW()/100000)</f>
        <v/>
      </c>
    </row>
    <row r="288" ht="20" customHeight="1">
      <c r="A288" s="60" t="n"/>
      <c r="B288" s="65">
        <f>IF(A288="","",IFERROR(INDEX(Bestand!$B$14:$B$213,MATCH(A288,Bestand!$A$14:$A$213,0)),"ID unbekannt"))</f>
        <v/>
      </c>
      <c r="C288" s="63" t="n"/>
      <c r="D288" s="62" t="n"/>
      <c r="E288" s="60" t="n"/>
      <c r="F288" s="60" t="n"/>
      <c r="G288" s="61" t="n"/>
      <c r="H288" s="69">
        <f>IF(OR(A288="",C288=""),"",COUNTIFS($A$7:$A$1006,A288,$C$7:$C$1006,"&lt;"&amp;C288)+1)</f>
        <v/>
      </c>
      <c r="I288" s="67">
        <f>IF(H288="","",IF(H288=1,"",C288-_xlfn.MAXIFS($C$7:$C$1006,$A$7:$A$1006,A288,$C$7:$C$1006,"&lt;"&amp;C288)))</f>
        <v/>
      </c>
      <c r="J288" s="68">
        <f>IF(I288="","",I288/TpM)</f>
        <v/>
      </c>
      <c r="K288" s="69">
        <f>IF(H288="","",COUNTIFS($A$7:$A$1006,A288,$C$7:$C$1006,"&gt;0")-H288)</f>
        <v/>
      </c>
      <c r="L288" s="69">
        <f>IF(H288="","",A288&amp;"|"&amp;H288)</f>
        <v/>
      </c>
      <c r="M288" s="69">
        <f>IF(A288="","",IFERROR(INDEX(Bestand!$AC$14:$AC$213,MATCH(A288,Bestand!$A$14:$A$213,0)),0))</f>
        <v/>
      </c>
      <c r="N288" s="69">
        <f>IF(OR(H288="",M288&lt;&gt;1),"",C288+ROW()/100000)</f>
        <v/>
      </c>
    </row>
    <row r="289" ht="20" customHeight="1">
      <c r="A289" s="60" t="n"/>
      <c r="B289" s="65">
        <f>IF(A289="","",IFERROR(INDEX(Bestand!$B$14:$B$213,MATCH(A289,Bestand!$A$14:$A$213,0)),"ID unbekannt"))</f>
        <v/>
      </c>
      <c r="C289" s="63" t="n"/>
      <c r="D289" s="62" t="n"/>
      <c r="E289" s="60" t="n"/>
      <c r="F289" s="60" t="n"/>
      <c r="G289" s="61" t="n"/>
      <c r="H289" s="69">
        <f>IF(OR(A289="",C289=""),"",COUNTIFS($A$7:$A$1006,A289,$C$7:$C$1006,"&lt;"&amp;C289)+1)</f>
        <v/>
      </c>
      <c r="I289" s="67">
        <f>IF(H289="","",IF(H289=1,"",C289-_xlfn.MAXIFS($C$7:$C$1006,$A$7:$A$1006,A289,$C$7:$C$1006,"&lt;"&amp;C289)))</f>
        <v/>
      </c>
      <c r="J289" s="68">
        <f>IF(I289="","",I289/TpM)</f>
        <v/>
      </c>
      <c r="K289" s="69">
        <f>IF(H289="","",COUNTIFS($A$7:$A$1006,A289,$C$7:$C$1006,"&gt;0")-H289)</f>
        <v/>
      </c>
      <c r="L289" s="69">
        <f>IF(H289="","",A289&amp;"|"&amp;H289)</f>
        <v/>
      </c>
      <c r="M289" s="69">
        <f>IF(A289="","",IFERROR(INDEX(Bestand!$AC$14:$AC$213,MATCH(A289,Bestand!$A$14:$A$213,0)),0))</f>
        <v/>
      </c>
      <c r="N289" s="69">
        <f>IF(OR(H289="",M289&lt;&gt;1),"",C289+ROW()/100000)</f>
        <v/>
      </c>
    </row>
    <row r="290" ht="20" customHeight="1">
      <c r="A290" s="60" t="n"/>
      <c r="B290" s="65">
        <f>IF(A290="","",IFERROR(INDEX(Bestand!$B$14:$B$213,MATCH(A290,Bestand!$A$14:$A$213,0)),"ID unbekannt"))</f>
        <v/>
      </c>
      <c r="C290" s="63" t="n"/>
      <c r="D290" s="62" t="n"/>
      <c r="E290" s="60" t="n"/>
      <c r="F290" s="60" t="n"/>
      <c r="G290" s="61" t="n"/>
      <c r="H290" s="69">
        <f>IF(OR(A290="",C290=""),"",COUNTIFS($A$7:$A$1006,A290,$C$7:$C$1006,"&lt;"&amp;C290)+1)</f>
        <v/>
      </c>
      <c r="I290" s="67">
        <f>IF(H290="","",IF(H290=1,"",C290-_xlfn.MAXIFS($C$7:$C$1006,$A$7:$A$1006,A290,$C$7:$C$1006,"&lt;"&amp;C290)))</f>
        <v/>
      </c>
      <c r="J290" s="68">
        <f>IF(I290="","",I290/TpM)</f>
        <v/>
      </c>
      <c r="K290" s="69">
        <f>IF(H290="","",COUNTIFS($A$7:$A$1006,A290,$C$7:$C$1006,"&gt;0")-H290)</f>
        <v/>
      </c>
      <c r="L290" s="69">
        <f>IF(H290="","",A290&amp;"|"&amp;H290)</f>
        <v/>
      </c>
      <c r="M290" s="69">
        <f>IF(A290="","",IFERROR(INDEX(Bestand!$AC$14:$AC$213,MATCH(A290,Bestand!$A$14:$A$213,0)),0))</f>
        <v/>
      </c>
      <c r="N290" s="69">
        <f>IF(OR(H290="",M290&lt;&gt;1),"",C290+ROW()/100000)</f>
        <v/>
      </c>
    </row>
    <row r="291" ht="20" customHeight="1">
      <c r="A291" s="60" t="n"/>
      <c r="B291" s="65">
        <f>IF(A291="","",IFERROR(INDEX(Bestand!$B$14:$B$213,MATCH(A291,Bestand!$A$14:$A$213,0)),"ID unbekannt"))</f>
        <v/>
      </c>
      <c r="C291" s="63" t="n"/>
      <c r="D291" s="62" t="n"/>
      <c r="E291" s="60" t="n"/>
      <c r="F291" s="60" t="n"/>
      <c r="G291" s="61" t="n"/>
      <c r="H291" s="69">
        <f>IF(OR(A291="",C291=""),"",COUNTIFS($A$7:$A$1006,A291,$C$7:$C$1006,"&lt;"&amp;C291)+1)</f>
        <v/>
      </c>
      <c r="I291" s="67">
        <f>IF(H291="","",IF(H291=1,"",C291-_xlfn.MAXIFS($C$7:$C$1006,$A$7:$A$1006,A291,$C$7:$C$1006,"&lt;"&amp;C291)))</f>
        <v/>
      </c>
      <c r="J291" s="68">
        <f>IF(I291="","",I291/TpM)</f>
        <v/>
      </c>
      <c r="K291" s="69">
        <f>IF(H291="","",COUNTIFS($A$7:$A$1006,A291,$C$7:$C$1006,"&gt;0")-H291)</f>
        <v/>
      </c>
      <c r="L291" s="69">
        <f>IF(H291="","",A291&amp;"|"&amp;H291)</f>
        <v/>
      </c>
      <c r="M291" s="69">
        <f>IF(A291="","",IFERROR(INDEX(Bestand!$AC$14:$AC$213,MATCH(A291,Bestand!$A$14:$A$213,0)),0))</f>
        <v/>
      </c>
      <c r="N291" s="69">
        <f>IF(OR(H291="",M291&lt;&gt;1),"",C291+ROW()/100000)</f>
        <v/>
      </c>
    </row>
    <row r="292" ht="20" customHeight="1">
      <c r="A292" s="60" t="n"/>
      <c r="B292" s="65">
        <f>IF(A292="","",IFERROR(INDEX(Bestand!$B$14:$B$213,MATCH(A292,Bestand!$A$14:$A$213,0)),"ID unbekannt"))</f>
        <v/>
      </c>
      <c r="C292" s="63" t="n"/>
      <c r="D292" s="62" t="n"/>
      <c r="E292" s="60" t="n"/>
      <c r="F292" s="60" t="n"/>
      <c r="G292" s="61" t="n"/>
      <c r="H292" s="69">
        <f>IF(OR(A292="",C292=""),"",COUNTIFS($A$7:$A$1006,A292,$C$7:$C$1006,"&lt;"&amp;C292)+1)</f>
        <v/>
      </c>
      <c r="I292" s="67">
        <f>IF(H292="","",IF(H292=1,"",C292-_xlfn.MAXIFS($C$7:$C$1006,$A$7:$A$1006,A292,$C$7:$C$1006,"&lt;"&amp;C292)))</f>
        <v/>
      </c>
      <c r="J292" s="68">
        <f>IF(I292="","",I292/TpM)</f>
        <v/>
      </c>
      <c r="K292" s="69">
        <f>IF(H292="","",COUNTIFS($A$7:$A$1006,A292,$C$7:$C$1006,"&gt;0")-H292)</f>
        <v/>
      </c>
      <c r="L292" s="69">
        <f>IF(H292="","",A292&amp;"|"&amp;H292)</f>
        <v/>
      </c>
      <c r="M292" s="69">
        <f>IF(A292="","",IFERROR(INDEX(Bestand!$AC$14:$AC$213,MATCH(A292,Bestand!$A$14:$A$213,0)),0))</f>
        <v/>
      </c>
      <c r="N292" s="69">
        <f>IF(OR(H292="",M292&lt;&gt;1),"",C292+ROW()/100000)</f>
        <v/>
      </c>
    </row>
    <row r="293" ht="20" customHeight="1">
      <c r="A293" s="60" t="n"/>
      <c r="B293" s="65">
        <f>IF(A293="","",IFERROR(INDEX(Bestand!$B$14:$B$213,MATCH(A293,Bestand!$A$14:$A$213,0)),"ID unbekannt"))</f>
        <v/>
      </c>
      <c r="C293" s="63" t="n"/>
      <c r="D293" s="62" t="n"/>
      <c r="E293" s="60" t="n"/>
      <c r="F293" s="60" t="n"/>
      <c r="G293" s="61" t="n"/>
      <c r="H293" s="69">
        <f>IF(OR(A293="",C293=""),"",COUNTIFS($A$7:$A$1006,A293,$C$7:$C$1006,"&lt;"&amp;C293)+1)</f>
        <v/>
      </c>
      <c r="I293" s="67">
        <f>IF(H293="","",IF(H293=1,"",C293-_xlfn.MAXIFS($C$7:$C$1006,$A$7:$A$1006,A293,$C$7:$C$1006,"&lt;"&amp;C293)))</f>
        <v/>
      </c>
      <c r="J293" s="68">
        <f>IF(I293="","",I293/TpM)</f>
        <v/>
      </c>
      <c r="K293" s="69">
        <f>IF(H293="","",COUNTIFS($A$7:$A$1006,A293,$C$7:$C$1006,"&gt;0")-H293)</f>
        <v/>
      </c>
      <c r="L293" s="69">
        <f>IF(H293="","",A293&amp;"|"&amp;H293)</f>
        <v/>
      </c>
      <c r="M293" s="69">
        <f>IF(A293="","",IFERROR(INDEX(Bestand!$AC$14:$AC$213,MATCH(A293,Bestand!$A$14:$A$213,0)),0))</f>
        <v/>
      </c>
      <c r="N293" s="69">
        <f>IF(OR(H293="",M293&lt;&gt;1),"",C293+ROW()/100000)</f>
        <v/>
      </c>
    </row>
    <row r="294" ht="20" customHeight="1">
      <c r="A294" s="60" t="n"/>
      <c r="B294" s="65">
        <f>IF(A294="","",IFERROR(INDEX(Bestand!$B$14:$B$213,MATCH(A294,Bestand!$A$14:$A$213,0)),"ID unbekannt"))</f>
        <v/>
      </c>
      <c r="C294" s="63" t="n"/>
      <c r="D294" s="62" t="n"/>
      <c r="E294" s="60" t="n"/>
      <c r="F294" s="60" t="n"/>
      <c r="G294" s="61" t="n"/>
      <c r="H294" s="69">
        <f>IF(OR(A294="",C294=""),"",COUNTIFS($A$7:$A$1006,A294,$C$7:$C$1006,"&lt;"&amp;C294)+1)</f>
        <v/>
      </c>
      <c r="I294" s="67">
        <f>IF(H294="","",IF(H294=1,"",C294-_xlfn.MAXIFS($C$7:$C$1006,$A$7:$A$1006,A294,$C$7:$C$1006,"&lt;"&amp;C294)))</f>
        <v/>
      </c>
      <c r="J294" s="68">
        <f>IF(I294="","",I294/TpM)</f>
        <v/>
      </c>
      <c r="K294" s="69">
        <f>IF(H294="","",COUNTIFS($A$7:$A$1006,A294,$C$7:$C$1006,"&gt;0")-H294)</f>
        <v/>
      </c>
      <c r="L294" s="69">
        <f>IF(H294="","",A294&amp;"|"&amp;H294)</f>
        <v/>
      </c>
      <c r="M294" s="69">
        <f>IF(A294="","",IFERROR(INDEX(Bestand!$AC$14:$AC$213,MATCH(A294,Bestand!$A$14:$A$213,0)),0))</f>
        <v/>
      </c>
      <c r="N294" s="69">
        <f>IF(OR(H294="",M294&lt;&gt;1),"",C294+ROW()/100000)</f>
        <v/>
      </c>
    </row>
    <row r="295" ht="20" customHeight="1">
      <c r="A295" s="60" t="n"/>
      <c r="B295" s="65">
        <f>IF(A295="","",IFERROR(INDEX(Bestand!$B$14:$B$213,MATCH(A295,Bestand!$A$14:$A$213,0)),"ID unbekannt"))</f>
        <v/>
      </c>
      <c r="C295" s="63" t="n"/>
      <c r="D295" s="62" t="n"/>
      <c r="E295" s="60" t="n"/>
      <c r="F295" s="60" t="n"/>
      <c r="G295" s="61" t="n"/>
      <c r="H295" s="69">
        <f>IF(OR(A295="",C295=""),"",COUNTIFS($A$7:$A$1006,A295,$C$7:$C$1006,"&lt;"&amp;C295)+1)</f>
        <v/>
      </c>
      <c r="I295" s="67">
        <f>IF(H295="","",IF(H295=1,"",C295-_xlfn.MAXIFS($C$7:$C$1006,$A$7:$A$1006,A295,$C$7:$C$1006,"&lt;"&amp;C295)))</f>
        <v/>
      </c>
      <c r="J295" s="68">
        <f>IF(I295="","",I295/TpM)</f>
        <v/>
      </c>
      <c r="K295" s="69">
        <f>IF(H295="","",COUNTIFS($A$7:$A$1006,A295,$C$7:$C$1006,"&gt;0")-H295)</f>
        <v/>
      </c>
      <c r="L295" s="69">
        <f>IF(H295="","",A295&amp;"|"&amp;H295)</f>
        <v/>
      </c>
      <c r="M295" s="69">
        <f>IF(A295="","",IFERROR(INDEX(Bestand!$AC$14:$AC$213,MATCH(A295,Bestand!$A$14:$A$213,0)),0))</f>
        <v/>
      </c>
      <c r="N295" s="69">
        <f>IF(OR(H295="",M295&lt;&gt;1),"",C295+ROW()/100000)</f>
        <v/>
      </c>
    </row>
    <row r="296" ht="20" customHeight="1">
      <c r="A296" s="60" t="n"/>
      <c r="B296" s="65">
        <f>IF(A296="","",IFERROR(INDEX(Bestand!$B$14:$B$213,MATCH(A296,Bestand!$A$14:$A$213,0)),"ID unbekannt"))</f>
        <v/>
      </c>
      <c r="C296" s="63" t="n"/>
      <c r="D296" s="62" t="n"/>
      <c r="E296" s="60" t="n"/>
      <c r="F296" s="60" t="n"/>
      <c r="G296" s="61" t="n"/>
      <c r="H296" s="69">
        <f>IF(OR(A296="",C296=""),"",COUNTIFS($A$7:$A$1006,A296,$C$7:$C$1006,"&lt;"&amp;C296)+1)</f>
        <v/>
      </c>
      <c r="I296" s="67">
        <f>IF(H296="","",IF(H296=1,"",C296-_xlfn.MAXIFS($C$7:$C$1006,$A$7:$A$1006,A296,$C$7:$C$1006,"&lt;"&amp;C296)))</f>
        <v/>
      </c>
      <c r="J296" s="68">
        <f>IF(I296="","",I296/TpM)</f>
        <v/>
      </c>
      <c r="K296" s="69">
        <f>IF(H296="","",COUNTIFS($A$7:$A$1006,A296,$C$7:$C$1006,"&gt;0")-H296)</f>
        <v/>
      </c>
      <c r="L296" s="69">
        <f>IF(H296="","",A296&amp;"|"&amp;H296)</f>
        <v/>
      </c>
      <c r="M296" s="69">
        <f>IF(A296="","",IFERROR(INDEX(Bestand!$AC$14:$AC$213,MATCH(A296,Bestand!$A$14:$A$213,0)),0))</f>
        <v/>
      </c>
      <c r="N296" s="69">
        <f>IF(OR(H296="",M296&lt;&gt;1),"",C296+ROW()/100000)</f>
        <v/>
      </c>
    </row>
    <row r="297" ht="20" customHeight="1">
      <c r="A297" s="60" t="n"/>
      <c r="B297" s="65">
        <f>IF(A297="","",IFERROR(INDEX(Bestand!$B$14:$B$213,MATCH(A297,Bestand!$A$14:$A$213,0)),"ID unbekannt"))</f>
        <v/>
      </c>
      <c r="C297" s="63" t="n"/>
      <c r="D297" s="62" t="n"/>
      <c r="E297" s="60" t="n"/>
      <c r="F297" s="60" t="n"/>
      <c r="G297" s="61" t="n"/>
      <c r="H297" s="69">
        <f>IF(OR(A297="",C297=""),"",COUNTIFS($A$7:$A$1006,A297,$C$7:$C$1006,"&lt;"&amp;C297)+1)</f>
        <v/>
      </c>
      <c r="I297" s="67">
        <f>IF(H297="","",IF(H297=1,"",C297-_xlfn.MAXIFS($C$7:$C$1006,$A$7:$A$1006,A297,$C$7:$C$1006,"&lt;"&amp;C297)))</f>
        <v/>
      </c>
      <c r="J297" s="68">
        <f>IF(I297="","",I297/TpM)</f>
        <v/>
      </c>
      <c r="K297" s="69">
        <f>IF(H297="","",COUNTIFS($A$7:$A$1006,A297,$C$7:$C$1006,"&gt;0")-H297)</f>
        <v/>
      </c>
      <c r="L297" s="69">
        <f>IF(H297="","",A297&amp;"|"&amp;H297)</f>
        <v/>
      </c>
      <c r="M297" s="69">
        <f>IF(A297="","",IFERROR(INDEX(Bestand!$AC$14:$AC$213,MATCH(A297,Bestand!$A$14:$A$213,0)),0))</f>
        <v/>
      </c>
      <c r="N297" s="69">
        <f>IF(OR(H297="",M297&lt;&gt;1),"",C297+ROW()/100000)</f>
        <v/>
      </c>
    </row>
    <row r="298" ht="20" customHeight="1">
      <c r="A298" s="60" t="n"/>
      <c r="B298" s="65">
        <f>IF(A298="","",IFERROR(INDEX(Bestand!$B$14:$B$213,MATCH(A298,Bestand!$A$14:$A$213,0)),"ID unbekannt"))</f>
        <v/>
      </c>
      <c r="C298" s="63" t="n"/>
      <c r="D298" s="62" t="n"/>
      <c r="E298" s="60" t="n"/>
      <c r="F298" s="60" t="n"/>
      <c r="G298" s="61" t="n"/>
      <c r="H298" s="69">
        <f>IF(OR(A298="",C298=""),"",COUNTIFS($A$7:$A$1006,A298,$C$7:$C$1006,"&lt;"&amp;C298)+1)</f>
        <v/>
      </c>
      <c r="I298" s="67">
        <f>IF(H298="","",IF(H298=1,"",C298-_xlfn.MAXIFS($C$7:$C$1006,$A$7:$A$1006,A298,$C$7:$C$1006,"&lt;"&amp;C298)))</f>
        <v/>
      </c>
      <c r="J298" s="68">
        <f>IF(I298="","",I298/TpM)</f>
        <v/>
      </c>
      <c r="K298" s="69">
        <f>IF(H298="","",COUNTIFS($A$7:$A$1006,A298,$C$7:$C$1006,"&gt;0")-H298)</f>
        <v/>
      </c>
      <c r="L298" s="69">
        <f>IF(H298="","",A298&amp;"|"&amp;H298)</f>
        <v/>
      </c>
      <c r="M298" s="69">
        <f>IF(A298="","",IFERROR(INDEX(Bestand!$AC$14:$AC$213,MATCH(A298,Bestand!$A$14:$A$213,0)),0))</f>
        <v/>
      </c>
      <c r="N298" s="69">
        <f>IF(OR(H298="",M298&lt;&gt;1),"",C298+ROW()/100000)</f>
        <v/>
      </c>
    </row>
    <row r="299" ht="20" customHeight="1">
      <c r="A299" s="60" t="n"/>
      <c r="B299" s="65">
        <f>IF(A299="","",IFERROR(INDEX(Bestand!$B$14:$B$213,MATCH(A299,Bestand!$A$14:$A$213,0)),"ID unbekannt"))</f>
        <v/>
      </c>
      <c r="C299" s="63" t="n"/>
      <c r="D299" s="62" t="n"/>
      <c r="E299" s="60" t="n"/>
      <c r="F299" s="60" t="n"/>
      <c r="G299" s="61" t="n"/>
      <c r="H299" s="69">
        <f>IF(OR(A299="",C299=""),"",COUNTIFS($A$7:$A$1006,A299,$C$7:$C$1006,"&lt;"&amp;C299)+1)</f>
        <v/>
      </c>
      <c r="I299" s="67">
        <f>IF(H299="","",IF(H299=1,"",C299-_xlfn.MAXIFS($C$7:$C$1006,$A$7:$A$1006,A299,$C$7:$C$1006,"&lt;"&amp;C299)))</f>
        <v/>
      </c>
      <c r="J299" s="68">
        <f>IF(I299="","",I299/TpM)</f>
        <v/>
      </c>
      <c r="K299" s="69">
        <f>IF(H299="","",COUNTIFS($A$7:$A$1006,A299,$C$7:$C$1006,"&gt;0")-H299)</f>
        <v/>
      </c>
      <c r="L299" s="69">
        <f>IF(H299="","",A299&amp;"|"&amp;H299)</f>
        <v/>
      </c>
      <c r="M299" s="69">
        <f>IF(A299="","",IFERROR(INDEX(Bestand!$AC$14:$AC$213,MATCH(A299,Bestand!$A$14:$A$213,0)),0))</f>
        <v/>
      </c>
      <c r="N299" s="69">
        <f>IF(OR(H299="",M299&lt;&gt;1),"",C299+ROW()/100000)</f>
        <v/>
      </c>
    </row>
    <row r="300" ht="20" customHeight="1">
      <c r="A300" s="60" t="n"/>
      <c r="B300" s="65">
        <f>IF(A300="","",IFERROR(INDEX(Bestand!$B$14:$B$213,MATCH(A300,Bestand!$A$14:$A$213,0)),"ID unbekannt"))</f>
        <v/>
      </c>
      <c r="C300" s="63" t="n"/>
      <c r="D300" s="62" t="n"/>
      <c r="E300" s="60" t="n"/>
      <c r="F300" s="60" t="n"/>
      <c r="G300" s="61" t="n"/>
      <c r="H300" s="69">
        <f>IF(OR(A300="",C300=""),"",COUNTIFS($A$7:$A$1006,A300,$C$7:$C$1006,"&lt;"&amp;C300)+1)</f>
        <v/>
      </c>
      <c r="I300" s="67">
        <f>IF(H300="","",IF(H300=1,"",C300-_xlfn.MAXIFS($C$7:$C$1006,$A$7:$A$1006,A300,$C$7:$C$1006,"&lt;"&amp;C300)))</f>
        <v/>
      </c>
      <c r="J300" s="68">
        <f>IF(I300="","",I300/TpM)</f>
        <v/>
      </c>
      <c r="K300" s="69">
        <f>IF(H300="","",COUNTIFS($A$7:$A$1006,A300,$C$7:$C$1006,"&gt;0")-H300)</f>
        <v/>
      </c>
      <c r="L300" s="69">
        <f>IF(H300="","",A300&amp;"|"&amp;H300)</f>
        <v/>
      </c>
      <c r="M300" s="69">
        <f>IF(A300="","",IFERROR(INDEX(Bestand!$AC$14:$AC$213,MATCH(A300,Bestand!$A$14:$A$213,0)),0))</f>
        <v/>
      </c>
      <c r="N300" s="69">
        <f>IF(OR(H300="",M300&lt;&gt;1),"",C300+ROW()/100000)</f>
        <v/>
      </c>
    </row>
    <row r="301" ht="20" customHeight="1">
      <c r="A301" s="60" t="n"/>
      <c r="B301" s="65">
        <f>IF(A301="","",IFERROR(INDEX(Bestand!$B$14:$B$213,MATCH(A301,Bestand!$A$14:$A$213,0)),"ID unbekannt"))</f>
        <v/>
      </c>
      <c r="C301" s="63" t="n"/>
      <c r="D301" s="62" t="n"/>
      <c r="E301" s="60" t="n"/>
      <c r="F301" s="60" t="n"/>
      <c r="G301" s="61" t="n"/>
      <c r="H301" s="69">
        <f>IF(OR(A301="",C301=""),"",COUNTIFS($A$7:$A$1006,A301,$C$7:$C$1006,"&lt;"&amp;C301)+1)</f>
        <v/>
      </c>
      <c r="I301" s="67">
        <f>IF(H301="","",IF(H301=1,"",C301-_xlfn.MAXIFS($C$7:$C$1006,$A$7:$A$1006,A301,$C$7:$C$1006,"&lt;"&amp;C301)))</f>
        <v/>
      </c>
      <c r="J301" s="68">
        <f>IF(I301="","",I301/TpM)</f>
        <v/>
      </c>
      <c r="K301" s="69">
        <f>IF(H301="","",COUNTIFS($A$7:$A$1006,A301,$C$7:$C$1006,"&gt;0")-H301)</f>
        <v/>
      </c>
      <c r="L301" s="69">
        <f>IF(H301="","",A301&amp;"|"&amp;H301)</f>
        <v/>
      </c>
      <c r="M301" s="69">
        <f>IF(A301="","",IFERROR(INDEX(Bestand!$AC$14:$AC$213,MATCH(A301,Bestand!$A$14:$A$213,0)),0))</f>
        <v/>
      </c>
      <c r="N301" s="69">
        <f>IF(OR(H301="",M301&lt;&gt;1),"",C301+ROW()/100000)</f>
        <v/>
      </c>
    </row>
    <row r="302" ht="20" customHeight="1">
      <c r="A302" s="60" t="n"/>
      <c r="B302" s="65">
        <f>IF(A302="","",IFERROR(INDEX(Bestand!$B$14:$B$213,MATCH(A302,Bestand!$A$14:$A$213,0)),"ID unbekannt"))</f>
        <v/>
      </c>
      <c r="C302" s="63" t="n"/>
      <c r="D302" s="62" t="n"/>
      <c r="E302" s="60" t="n"/>
      <c r="F302" s="60" t="n"/>
      <c r="G302" s="61" t="n"/>
      <c r="H302" s="69">
        <f>IF(OR(A302="",C302=""),"",COUNTIFS($A$7:$A$1006,A302,$C$7:$C$1006,"&lt;"&amp;C302)+1)</f>
        <v/>
      </c>
      <c r="I302" s="67">
        <f>IF(H302="","",IF(H302=1,"",C302-_xlfn.MAXIFS($C$7:$C$1006,$A$7:$A$1006,A302,$C$7:$C$1006,"&lt;"&amp;C302)))</f>
        <v/>
      </c>
      <c r="J302" s="68">
        <f>IF(I302="","",I302/TpM)</f>
        <v/>
      </c>
      <c r="K302" s="69">
        <f>IF(H302="","",COUNTIFS($A$7:$A$1006,A302,$C$7:$C$1006,"&gt;0")-H302)</f>
        <v/>
      </c>
      <c r="L302" s="69">
        <f>IF(H302="","",A302&amp;"|"&amp;H302)</f>
        <v/>
      </c>
      <c r="M302" s="69">
        <f>IF(A302="","",IFERROR(INDEX(Bestand!$AC$14:$AC$213,MATCH(A302,Bestand!$A$14:$A$213,0)),0))</f>
        <v/>
      </c>
      <c r="N302" s="69">
        <f>IF(OR(H302="",M302&lt;&gt;1),"",C302+ROW()/100000)</f>
        <v/>
      </c>
    </row>
    <row r="303" ht="20" customHeight="1">
      <c r="A303" s="60" t="n"/>
      <c r="B303" s="65">
        <f>IF(A303="","",IFERROR(INDEX(Bestand!$B$14:$B$213,MATCH(A303,Bestand!$A$14:$A$213,0)),"ID unbekannt"))</f>
        <v/>
      </c>
      <c r="C303" s="63" t="n"/>
      <c r="D303" s="62" t="n"/>
      <c r="E303" s="60" t="n"/>
      <c r="F303" s="60" t="n"/>
      <c r="G303" s="61" t="n"/>
      <c r="H303" s="69">
        <f>IF(OR(A303="",C303=""),"",COUNTIFS($A$7:$A$1006,A303,$C$7:$C$1006,"&lt;"&amp;C303)+1)</f>
        <v/>
      </c>
      <c r="I303" s="67">
        <f>IF(H303="","",IF(H303=1,"",C303-_xlfn.MAXIFS($C$7:$C$1006,$A$7:$A$1006,A303,$C$7:$C$1006,"&lt;"&amp;C303)))</f>
        <v/>
      </c>
      <c r="J303" s="68">
        <f>IF(I303="","",I303/TpM)</f>
        <v/>
      </c>
      <c r="K303" s="69">
        <f>IF(H303="","",COUNTIFS($A$7:$A$1006,A303,$C$7:$C$1006,"&gt;0")-H303)</f>
        <v/>
      </c>
      <c r="L303" s="69">
        <f>IF(H303="","",A303&amp;"|"&amp;H303)</f>
        <v/>
      </c>
      <c r="M303" s="69">
        <f>IF(A303="","",IFERROR(INDEX(Bestand!$AC$14:$AC$213,MATCH(A303,Bestand!$A$14:$A$213,0)),0))</f>
        <v/>
      </c>
      <c r="N303" s="69">
        <f>IF(OR(H303="",M303&lt;&gt;1),"",C303+ROW()/100000)</f>
        <v/>
      </c>
    </row>
    <row r="304" ht="20" customHeight="1">
      <c r="A304" s="60" t="n"/>
      <c r="B304" s="65">
        <f>IF(A304="","",IFERROR(INDEX(Bestand!$B$14:$B$213,MATCH(A304,Bestand!$A$14:$A$213,0)),"ID unbekannt"))</f>
        <v/>
      </c>
      <c r="C304" s="63" t="n"/>
      <c r="D304" s="62" t="n"/>
      <c r="E304" s="60" t="n"/>
      <c r="F304" s="60" t="n"/>
      <c r="G304" s="61" t="n"/>
      <c r="H304" s="69">
        <f>IF(OR(A304="",C304=""),"",COUNTIFS($A$7:$A$1006,A304,$C$7:$C$1006,"&lt;"&amp;C304)+1)</f>
        <v/>
      </c>
      <c r="I304" s="67">
        <f>IF(H304="","",IF(H304=1,"",C304-_xlfn.MAXIFS($C$7:$C$1006,$A$7:$A$1006,A304,$C$7:$C$1006,"&lt;"&amp;C304)))</f>
        <v/>
      </c>
      <c r="J304" s="68">
        <f>IF(I304="","",I304/TpM)</f>
        <v/>
      </c>
      <c r="K304" s="69">
        <f>IF(H304="","",COUNTIFS($A$7:$A$1006,A304,$C$7:$C$1006,"&gt;0")-H304)</f>
        <v/>
      </c>
      <c r="L304" s="69">
        <f>IF(H304="","",A304&amp;"|"&amp;H304)</f>
        <v/>
      </c>
      <c r="M304" s="69">
        <f>IF(A304="","",IFERROR(INDEX(Bestand!$AC$14:$AC$213,MATCH(A304,Bestand!$A$14:$A$213,0)),0))</f>
        <v/>
      </c>
      <c r="N304" s="69">
        <f>IF(OR(H304="",M304&lt;&gt;1),"",C304+ROW()/100000)</f>
        <v/>
      </c>
    </row>
    <row r="305" ht="20" customHeight="1">
      <c r="A305" s="60" t="n"/>
      <c r="B305" s="65">
        <f>IF(A305="","",IFERROR(INDEX(Bestand!$B$14:$B$213,MATCH(A305,Bestand!$A$14:$A$213,0)),"ID unbekannt"))</f>
        <v/>
      </c>
      <c r="C305" s="63" t="n"/>
      <c r="D305" s="62" t="n"/>
      <c r="E305" s="60" t="n"/>
      <c r="F305" s="60" t="n"/>
      <c r="G305" s="61" t="n"/>
      <c r="H305" s="69">
        <f>IF(OR(A305="",C305=""),"",COUNTIFS($A$7:$A$1006,A305,$C$7:$C$1006,"&lt;"&amp;C305)+1)</f>
        <v/>
      </c>
      <c r="I305" s="67">
        <f>IF(H305="","",IF(H305=1,"",C305-_xlfn.MAXIFS($C$7:$C$1006,$A$7:$A$1006,A305,$C$7:$C$1006,"&lt;"&amp;C305)))</f>
        <v/>
      </c>
      <c r="J305" s="68">
        <f>IF(I305="","",I305/TpM)</f>
        <v/>
      </c>
      <c r="K305" s="69">
        <f>IF(H305="","",COUNTIFS($A$7:$A$1006,A305,$C$7:$C$1006,"&gt;0")-H305)</f>
        <v/>
      </c>
      <c r="L305" s="69">
        <f>IF(H305="","",A305&amp;"|"&amp;H305)</f>
        <v/>
      </c>
      <c r="M305" s="69">
        <f>IF(A305="","",IFERROR(INDEX(Bestand!$AC$14:$AC$213,MATCH(A305,Bestand!$A$14:$A$213,0)),0))</f>
        <v/>
      </c>
      <c r="N305" s="69">
        <f>IF(OR(H305="",M305&lt;&gt;1),"",C305+ROW()/100000)</f>
        <v/>
      </c>
    </row>
    <row r="306" ht="20" customHeight="1">
      <c r="A306" s="60" t="n"/>
      <c r="B306" s="65">
        <f>IF(A306="","",IFERROR(INDEX(Bestand!$B$14:$B$213,MATCH(A306,Bestand!$A$14:$A$213,0)),"ID unbekannt"))</f>
        <v/>
      </c>
      <c r="C306" s="63" t="n"/>
      <c r="D306" s="62" t="n"/>
      <c r="E306" s="60" t="n"/>
      <c r="F306" s="60" t="n"/>
      <c r="G306" s="61" t="n"/>
      <c r="H306" s="69">
        <f>IF(OR(A306="",C306=""),"",COUNTIFS($A$7:$A$1006,A306,$C$7:$C$1006,"&lt;"&amp;C306)+1)</f>
        <v/>
      </c>
      <c r="I306" s="67">
        <f>IF(H306="","",IF(H306=1,"",C306-_xlfn.MAXIFS($C$7:$C$1006,$A$7:$A$1006,A306,$C$7:$C$1006,"&lt;"&amp;C306)))</f>
        <v/>
      </c>
      <c r="J306" s="68">
        <f>IF(I306="","",I306/TpM)</f>
        <v/>
      </c>
      <c r="K306" s="69">
        <f>IF(H306="","",COUNTIFS($A$7:$A$1006,A306,$C$7:$C$1006,"&gt;0")-H306)</f>
        <v/>
      </c>
      <c r="L306" s="69">
        <f>IF(H306="","",A306&amp;"|"&amp;H306)</f>
        <v/>
      </c>
      <c r="M306" s="69">
        <f>IF(A306="","",IFERROR(INDEX(Bestand!$AC$14:$AC$213,MATCH(A306,Bestand!$A$14:$A$213,0)),0))</f>
        <v/>
      </c>
      <c r="N306" s="69">
        <f>IF(OR(H306="",M306&lt;&gt;1),"",C306+ROW()/100000)</f>
        <v/>
      </c>
    </row>
    <row r="307" ht="20" customHeight="1">
      <c r="A307" s="60" t="n"/>
      <c r="B307" s="65">
        <f>IF(A307="","",IFERROR(INDEX(Bestand!$B$14:$B$213,MATCH(A307,Bestand!$A$14:$A$213,0)),"ID unbekannt"))</f>
        <v/>
      </c>
      <c r="C307" s="63" t="n"/>
      <c r="D307" s="62" t="n"/>
      <c r="E307" s="60" t="n"/>
      <c r="F307" s="60" t="n"/>
      <c r="G307" s="61" t="n"/>
      <c r="H307" s="69">
        <f>IF(OR(A307="",C307=""),"",COUNTIFS($A$7:$A$1006,A307,$C$7:$C$1006,"&lt;"&amp;C307)+1)</f>
        <v/>
      </c>
      <c r="I307" s="67">
        <f>IF(H307="","",IF(H307=1,"",C307-_xlfn.MAXIFS($C$7:$C$1006,$A$7:$A$1006,A307,$C$7:$C$1006,"&lt;"&amp;C307)))</f>
        <v/>
      </c>
      <c r="J307" s="68">
        <f>IF(I307="","",I307/TpM)</f>
        <v/>
      </c>
      <c r="K307" s="69">
        <f>IF(H307="","",COUNTIFS($A$7:$A$1006,A307,$C$7:$C$1006,"&gt;0")-H307)</f>
        <v/>
      </c>
      <c r="L307" s="69">
        <f>IF(H307="","",A307&amp;"|"&amp;H307)</f>
        <v/>
      </c>
      <c r="M307" s="69">
        <f>IF(A307="","",IFERROR(INDEX(Bestand!$AC$14:$AC$213,MATCH(A307,Bestand!$A$14:$A$213,0)),0))</f>
        <v/>
      </c>
      <c r="N307" s="69">
        <f>IF(OR(H307="",M307&lt;&gt;1),"",C307+ROW()/100000)</f>
        <v/>
      </c>
    </row>
    <row r="308" ht="20" customHeight="1">
      <c r="A308" s="60" t="n"/>
      <c r="B308" s="65">
        <f>IF(A308="","",IFERROR(INDEX(Bestand!$B$14:$B$213,MATCH(A308,Bestand!$A$14:$A$213,0)),"ID unbekannt"))</f>
        <v/>
      </c>
      <c r="C308" s="63" t="n"/>
      <c r="D308" s="62" t="n"/>
      <c r="E308" s="60" t="n"/>
      <c r="F308" s="60" t="n"/>
      <c r="G308" s="61" t="n"/>
      <c r="H308" s="69">
        <f>IF(OR(A308="",C308=""),"",COUNTIFS($A$7:$A$1006,A308,$C$7:$C$1006,"&lt;"&amp;C308)+1)</f>
        <v/>
      </c>
      <c r="I308" s="67">
        <f>IF(H308="","",IF(H308=1,"",C308-_xlfn.MAXIFS($C$7:$C$1006,$A$7:$A$1006,A308,$C$7:$C$1006,"&lt;"&amp;C308)))</f>
        <v/>
      </c>
      <c r="J308" s="68">
        <f>IF(I308="","",I308/TpM)</f>
        <v/>
      </c>
      <c r="K308" s="69">
        <f>IF(H308="","",COUNTIFS($A$7:$A$1006,A308,$C$7:$C$1006,"&gt;0")-H308)</f>
        <v/>
      </c>
      <c r="L308" s="69">
        <f>IF(H308="","",A308&amp;"|"&amp;H308)</f>
        <v/>
      </c>
      <c r="M308" s="69">
        <f>IF(A308="","",IFERROR(INDEX(Bestand!$AC$14:$AC$213,MATCH(A308,Bestand!$A$14:$A$213,0)),0))</f>
        <v/>
      </c>
      <c r="N308" s="69">
        <f>IF(OR(H308="",M308&lt;&gt;1),"",C308+ROW()/100000)</f>
        <v/>
      </c>
    </row>
    <row r="309" ht="20" customHeight="1">
      <c r="A309" s="60" t="n"/>
      <c r="B309" s="65">
        <f>IF(A309="","",IFERROR(INDEX(Bestand!$B$14:$B$213,MATCH(A309,Bestand!$A$14:$A$213,0)),"ID unbekannt"))</f>
        <v/>
      </c>
      <c r="C309" s="63" t="n"/>
      <c r="D309" s="62" t="n"/>
      <c r="E309" s="60" t="n"/>
      <c r="F309" s="60" t="n"/>
      <c r="G309" s="61" t="n"/>
      <c r="H309" s="69">
        <f>IF(OR(A309="",C309=""),"",COUNTIFS($A$7:$A$1006,A309,$C$7:$C$1006,"&lt;"&amp;C309)+1)</f>
        <v/>
      </c>
      <c r="I309" s="67">
        <f>IF(H309="","",IF(H309=1,"",C309-_xlfn.MAXIFS($C$7:$C$1006,$A$7:$A$1006,A309,$C$7:$C$1006,"&lt;"&amp;C309)))</f>
        <v/>
      </c>
      <c r="J309" s="68">
        <f>IF(I309="","",I309/TpM)</f>
        <v/>
      </c>
      <c r="K309" s="69">
        <f>IF(H309="","",COUNTIFS($A$7:$A$1006,A309,$C$7:$C$1006,"&gt;0")-H309)</f>
        <v/>
      </c>
      <c r="L309" s="69">
        <f>IF(H309="","",A309&amp;"|"&amp;H309)</f>
        <v/>
      </c>
      <c r="M309" s="69">
        <f>IF(A309="","",IFERROR(INDEX(Bestand!$AC$14:$AC$213,MATCH(A309,Bestand!$A$14:$A$213,0)),0))</f>
        <v/>
      </c>
      <c r="N309" s="69">
        <f>IF(OR(H309="",M309&lt;&gt;1),"",C309+ROW()/100000)</f>
        <v/>
      </c>
    </row>
    <row r="310" ht="20" customHeight="1">
      <c r="A310" s="60" t="n"/>
      <c r="B310" s="65">
        <f>IF(A310="","",IFERROR(INDEX(Bestand!$B$14:$B$213,MATCH(A310,Bestand!$A$14:$A$213,0)),"ID unbekannt"))</f>
        <v/>
      </c>
      <c r="C310" s="63" t="n"/>
      <c r="D310" s="62" t="n"/>
      <c r="E310" s="60" t="n"/>
      <c r="F310" s="60" t="n"/>
      <c r="G310" s="61" t="n"/>
      <c r="H310" s="69">
        <f>IF(OR(A310="",C310=""),"",COUNTIFS($A$7:$A$1006,A310,$C$7:$C$1006,"&lt;"&amp;C310)+1)</f>
        <v/>
      </c>
      <c r="I310" s="67">
        <f>IF(H310="","",IF(H310=1,"",C310-_xlfn.MAXIFS($C$7:$C$1006,$A$7:$A$1006,A310,$C$7:$C$1006,"&lt;"&amp;C310)))</f>
        <v/>
      </c>
      <c r="J310" s="68">
        <f>IF(I310="","",I310/TpM)</f>
        <v/>
      </c>
      <c r="K310" s="69">
        <f>IF(H310="","",COUNTIFS($A$7:$A$1006,A310,$C$7:$C$1006,"&gt;0")-H310)</f>
        <v/>
      </c>
      <c r="L310" s="69">
        <f>IF(H310="","",A310&amp;"|"&amp;H310)</f>
        <v/>
      </c>
      <c r="M310" s="69">
        <f>IF(A310="","",IFERROR(INDEX(Bestand!$AC$14:$AC$213,MATCH(A310,Bestand!$A$14:$A$213,0)),0))</f>
        <v/>
      </c>
      <c r="N310" s="69">
        <f>IF(OR(H310="",M310&lt;&gt;1),"",C310+ROW()/100000)</f>
        <v/>
      </c>
    </row>
    <row r="311" ht="20" customHeight="1">
      <c r="A311" s="60" t="n"/>
      <c r="B311" s="65">
        <f>IF(A311="","",IFERROR(INDEX(Bestand!$B$14:$B$213,MATCH(A311,Bestand!$A$14:$A$213,0)),"ID unbekannt"))</f>
        <v/>
      </c>
      <c r="C311" s="63" t="n"/>
      <c r="D311" s="62" t="n"/>
      <c r="E311" s="60" t="n"/>
      <c r="F311" s="60" t="n"/>
      <c r="G311" s="61" t="n"/>
      <c r="H311" s="69">
        <f>IF(OR(A311="",C311=""),"",COUNTIFS($A$7:$A$1006,A311,$C$7:$C$1006,"&lt;"&amp;C311)+1)</f>
        <v/>
      </c>
      <c r="I311" s="67">
        <f>IF(H311="","",IF(H311=1,"",C311-_xlfn.MAXIFS($C$7:$C$1006,$A$7:$A$1006,A311,$C$7:$C$1006,"&lt;"&amp;C311)))</f>
        <v/>
      </c>
      <c r="J311" s="68">
        <f>IF(I311="","",I311/TpM)</f>
        <v/>
      </c>
      <c r="K311" s="69">
        <f>IF(H311="","",COUNTIFS($A$7:$A$1006,A311,$C$7:$C$1006,"&gt;0")-H311)</f>
        <v/>
      </c>
      <c r="L311" s="69">
        <f>IF(H311="","",A311&amp;"|"&amp;H311)</f>
        <v/>
      </c>
      <c r="M311" s="69">
        <f>IF(A311="","",IFERROR(INDEX(Bestand!$AC$14:$AC$213,MATCH(A311,Bestand!$A$14:$A$213,0)),0))</f>
        <v/>
      </c>
      <c r="N311" s="69">
        <f>IF(OR(H311="",M311&lt;&gt;1),"",C311+ROW()/100000)</f>
        <v/>
      </c>
    </row>
    <row r="312" ht="20" customHeight="1">
      <c r="A312" s="60" t="n"/>
      <c r="B312" s="65">
        <f>IF(A312="","",IFERROR(INDEX(Bestand!$B$14:$B$213,MATCH(A312,Bestand!$A$14:$A$213,0)),"ID unbekannt"))</f>
        <v/>
      </c>
      <c r="C312" s="63" t="n"/>
      <c r="D312" s="62" t="n"/>
      <c r="E312" s="60" t="n"/>
      <c r="F312" s="60" t="n"/>
      <c r="G312" s="61" t="n"/>
      <c r="H312" s="69">
        <f>IF(OR(A312="",C312=""),"",COUNTIFS($A$7:$A$1006,A312,$C$7:$C$1006,"&lt;"&amp;C312)+1)</f>
        <v/>
      </c>
      <c r="I312" s="67">
        <f>IF(H312="","",IF(H312=1,"",C312-_xlfn.MAXIFS($C$7:$C$1006,$A$7:$A$1006,A312,$C$7:$C$1006,"&lt;"&amp;C312)))</f>
        <v/>
      </c>
      <c r="J312" s="68">
        <f>IF(I312="","",I312/TpM)</f>
        <v/>
      </c>
      <c r="K312" s="69">
        <f>IF(H312="","",COUNTIFS($A$7:$A$1006,A312,$C$7:$C$1006,"&gt;0")-H312)</f>
        <v/>
      </c>
      <c r="L312" s="69">
        <f>IF(H312="","",A312&amp;"|"&amp;H312)</f>
        <v/>
      </c>
      <c r="M312" s="69">
        <f>IF(A312="","",IFERROR(INDEX(Bestand!$AC$14:$AC$213,MATCH(A312,Bestand!$A$14:$A$213,0)),0))</f>
        <v/>
      </c>
      <c r="N312" s="69">
        <f>IF(OR(H312="",M312&lt;&gt;1),"",C312+ROW()/100000)</f>
        <v/>
      </c>
    </row>
    <row r="313" ht="20" customHeight="1">
      <c r="A313" s="60" t="n"/>
      <c r="B313" s="65">
        <f>IF(A313="","",IFERROR(INDEX(Bestand!$B$14:$B$213,MATCH(A313,Bestand!$A$14:$A$213,0)),"ID unbekannt"))</f>
        <v/>
      </c>
      <c r="C313" s="63" t="n"/>
      <c r="D313" s="62" t="n"/>
      <c r="E313" s="60" t="n"/>
      <c r="F313" s="60" t="n"/>
      <c r="G313" s="61" t="n"/>
      <c r="H313" s="69">
        <f>IF(OR(A313="",C313=""),"",COUNTIFS($A$7:$A$1006,A313,$C$7:$C$1006,"&lt;"&amp;C313)+1)</f>
        <v/>
      </c>
      <c r="I313" s="67">
        <f>IF(H313="","",IF(H313=1,"",C313-_xlfn.MAXIFS($C$7:$C$1006,$A$7:$A$1006,A313,$C$7:$C$1006,"&lt;"&amp;C313)))</f>
        <v/>
      </c>
      <c r="J313" s="68">
        <f>IF(I313="","",I313/TpM)</f>
        <v/>
      </c>
      <c r="K313" s="69">
        <f>IF(H313="","",COUNTIFS($A$7:$A$1006,A313,$C$7:$C$1006,"&gt;0")-H313)</f>
        <v/>
      </c>
      <c r="L313" s="69">
        <f>IF(H313="","",A313&amp;"|"&amp;H313)</f>
        <v/>
      </c>
      <c r="M313" s="69">
        <f>IF(A313="","",IFERROR(INDEX(Bestand!$AC$14:$AC$213,MATCH(A313,Bestand!$A$14:$A$213,0)),0))</f>
        <v/>
      </c>
      <c r="N313" s="69">
        <f>IF(OR(H313="",M313&lt;&gt;1),"",C313+ROW()/100000)</f>
        <v/>
      </c>
    </row>
    <row r="314" ht="20" customHeight="1">
      <c r="A314" s="60" t="n"/>
      <c r="B314" s="65">
        <f>IF(A314="","",IFERROR(INDEX(Bestand!$B$14:$B$213,MATCH(A314,Bestand!$A$14:$A$213,0)),"ID unbekannt"))</f>
        <v/>
      </c>
      <c r="C314" s="63" t="n"/>
      <c r="D314" s="62" t="n"/>
      <c r="E314" s="60" t="n"/>
      <c r="F314" s="60" t="n"/>
      <c r="G314" s="61" t="n"/>
      <c r="H314" s="69">
        <f>IF(OR(A314="",C314=""),"",COUNTIFS($A$7:$A$1006,A314,$C$7:$C$1006,"&lt;"&amp;C314)+1)</f>
        <v/>
      </c>
      <c r="I314" s="67">
        <f>IF(H314="","",IF(H314=1,"",C314-_xlfn.MAXIFS($C$7:$C$1006,$A$7:$A$1006,A314,$C$7:$C$1006,"&lt;"&amp;C314)))</f>
        <v/>
      </c>
      <c r="J314" s="68">
        <f>IF(I314="","",I314/TpM)</f>
        <v/>
      </c>
      <c r="K314" s="69">
        <f>IF(H314="","",COUNTIFS($A$7:$A$1006,A314,$C$7:$C$1006,"&gt;0")-H314)</f>
        <v/>
      </c>
      <c r="L314" s="69">
        <f>IF(H314="","",A314&amp;"|"&amp;H314)</f>
        <v/>
      </c>
      <c r="M314" s="69">
        <f>IF(A314="","",IFERROR(INDEX(Bestand!$AC$14:$AC$213,MATCH(A314,Bestand!$A$14:$A$213,0)),0))</f>
        <v/>
      </c>
      <c r="N314" s="69">
        <f>IF(OR(H314="",M314&lt;&gt;1),"",C314+ROW()/100000)</f>
        <v/>
      </c>
    </row>
    <row r="315" ht="20" customHeight="1">
      <c r="A315" s="60" t="n"/>
      <c r="B315" s="65">
        <f>IF(A315="","",IFERROR(INDEX(Bestand!$B$14:$B$213,MATCH(A315,Bestand!$A$14:$A$213,0)),"ID unbekannt"))</f>
        <v/>
      </c>
      <c r="C315" s="63" t="n"/>
      <c r="D315" s="62" t="n"/>
      <c r="E315" s="60" t="n"/>
      <c r="F315" s="60" t="n"/>
      <c r="G315" s="61" t="n"/>
      <c r="H315" s="69">
        <f>IF(OR(A315="",C315=""),"",COUNTIFS($A$7:$A$1006,A315,$C$7:$C$1006,"&lt;"&amp;C315)+1)</f>
        <v/>
      </c>
      <c r="I315" s="67">
        <f>IF(H315="","",IF(H315=1,"",C315-_xlfn.MAXIFS($C$7:$C$1006,$A$7:$A$1006,A315,$C$7:$C$1006,"&lt;"&amp;C315)))</f>
        <v/>
      </c>
      <c r="J315" s="68">
        <f>IF(I315="","",I315/TpM)</f>
        <v/>
      </c>
      <c r="K315" s="69">
        <f>IF(H315="","",COUNTIFS($A$7:$A$1006,A315,$C$7:$C$1006,"&gt;0")-H315)</f>
        <v/>
      </c>
      <c r="L315" s="69">
        <f>IF(H315="","",A315&amp;"|"&amp;H315)</f>
        <v/>
      </c>
      <c r="M315" s="69">
        <f>IF(A315="","",IFERROR(INDEX(Bestand!$AC$14:$AC$213,MATCH(A315,Bestand!$A$14:$A$213,0)),0))</f>
        <v/>
      </c>
      <c r="N315" s="69">
        <f>IF(OR(H315="",M315&lt;&gt;1),"",C315+ROW()/100000)</f>
        <v/>
      </c>
    </row>
    <row r="316" ht="20" customHeight="1">
      <c r="A316" s="60" t="n"/>
      <c r="B316" s="65">
        <f>IF(A316="","",IFERROR(INDEX(Bestand!$B$14:$B$213,MATCH(A316,Bestand!$A$14:$A$213,0)),"ID unbekannt"))</f>
        <v/>
      </c>
      <c r="C316" s="63" t="n"/>
      <c r="D316" s="62" t="n"/>
      <c r="E316" s="60" t="n"/>
      <c r="F316" s="60" t="n"/>
      <c r="G316" s="61" t="n"/>
      <c r="H316" s="69">
        <f>IF(OR(A316="",C316=""),"",COUNTIFS($A$7:$A$1006,A316,$C$7:$C$1006,"&lt;"&amp;C316)+1)</f>
        <v/>
      </c>
      <c r="I316" s="67">
        <f>IF(H316="","",IF(H316=1,"",C316-_xlfn.MAXIFS($C$7:$C$1006,$A$7:$A$1006,A316,$C$7:$C$1006,"&lt;"&amp;C316)))</f>
        <v/>
      </c>
      <c r="J316" s="68">
        <f>IF(I316="","",I316/TpM)</f>
        <v/>
      </c>
      <c r="K316" s="69">
        <f>IF(H316="","",COUNTIFS($A$7:$A$1006,A316,$C$7:$C$1006,"&gt;0")-H316)</f>
        <v/>
      </c>
      <c r="L316" s="69">
        <f>IF(H316="","",A316&amp;"|"&amp;H316)</f>
        <v/>
      </c>
      <c r="M316" s="69">
        <f>IF(A316="","",IFERROR(INDEX(Bestand!$AC$14:$AC$213,MATCH(A316,Bestand!$A$14:$A$213,0)),0))</f>
        <v/>
      </c>
      <c r="N316" s="69">
        <f>IF(OR(H316="",M316&lt;&gt;1),"",C316+ROW()/100000)</f>
        <v/>
      </c>
    </row>
    <row r="317" ht="20" customHeight="1">
      <c r="A317" s="60" t="n"/>
      <c r="B317" s="65">
        <f>IF(A317="","",IFERROR(INDEX(Bestand!$B$14:$B$213,MATCH(A317,Bestand!$A$14:$A$213,0)),"ID unbekannt"))</f>
        <v/>
      </c>
      <c r="C317" s="63" t="n"/>
      <c r="D317" s="62" t="n"/>
      <c r="E317" s="60" t="n"/>
      <c r="F317" s="60" t="n"/>
      <c r="G317" s="61" t="n"/>
      <c r="H317" s="69">
        <f>IF(OR(A317="",C317=""),"",COUNTIFS($A$7:$A$1006,A317,$C$7:$C$1006,"&lt;"&amp;C317)+1)</f>
        <v/>
      </c>
      <c r="I317" s="67">
        <f>IF(H317="","",IF(H317=1,"",C317-_xlfn.MAXIFS($C$7:$C$1006,$A$7:$A$1006,A317,$C$7:$C$1006,"&lt;"&amp;C317)))</f>
        <v/>
      </c>
      <c r="J317" s="68">
        <f>IF(I317="","",I317/TpM)</f>
        <v/>
      </c>
      <c r="K317" s="69">
        <f>IF(H317="","",COUNTIFS($A$7:$A$1006,A317,$C$7:$C$1006,"&gt;0")-H317)</f>
        <v/>
      </c>
      <c r="L317" s="69">
        <f>IF(H317="","",A317&amp;"|"&amp;H317)</f>
        <v/>
      </c>
      <c r="M317" s="69">
        <f>IF(A317="","",IFERROR(INDEX(Bestand!$AC$14:$AC$213,MATCH(A317,Bestand!$A$14:$A$213,0)),0))</f>
        <v/>
      </c>
      <c r="N317" s="69">
        <f>IF(OR(H317="",M317&lt;&gt;1),"",C317+ROW()/100000)</f>
        <v/>
      </c>
    </row>
    <row r="318" ht="20" customHeight="1">
      <c r="A318" s="60" t="n"/>
      <c r="B318" s="65">
        <f>IF(A318="","",IFERROR(INDEX(Bestand!$B$14:$B$213,MATCH(A318,Bestand!$A$14:$A$213,0)),"ID unbekannt"))</f>
        <v/>
      </c>
      <c r="C318" s="63" t="n"/>
      <c r="D318" s="62" t="n"/>
      <c r="E318" s="60" t="n"/>
      <c r="F318" s="60" t="n"/>
      <c r="G318" s="61" t="n"/>
      <c r="H318" s="69">
        <f>IF(OR(A318="",C318=""),"",COUNTIFS($A$7:$A$1006,A318,$C$7:$C$1006,"&lt;"&amp;C318)+1)</f>
        <v/>
      </c>
      <c r="I318" s="67">
        <f>IF(H318="","",IF(H318=1,"",C318-_xlfn.MAXIFS($C$7:$C$1006,$A$7:$A$1006,A318,$C$7:$C$1006,"&lt;"&amp;C318)))</f>
        <v/>
      </c>
      <c r="J318" s="68">
        <f>IF(I318="","",I318/TpM)</f>
        <v/>
      </c>
      <c r="K318" s="69">
        <f>IF(H318="","",COUNTIFS($A$7:$A$1006,A318,$C$7:$C$1006,"&gt;0")-H318)</f>
        <v/>
      </c>
      <c r="L318" s="69">
        <f>IF(H318="","",A318&amp;"|"&amp;H318)</f>
        <v/>
      </c>
      <c r="M318" s="69">
        <f>IF(A318="","",IFERROR(INDEX(Bestand!$AC$14:$AC$213,MATCH(A318,Bestand!$A$14:$A$213,0)),0))</f>
        <v/>
      </c>
      <c r="N318" s="69">
        <f>IF(OR(H318="",M318&lt;&gt;1),"",C318+ROW()/100000)</f>
        <v/>
      </c>
    </row>
    <row r="319" ht="20" customHeight="1">
      <c r="A319" s="60" t="n"/>
      <c r="B319" s="65">
        <f>IF(A319="","",IFERROR(INDEX(Bestand!$B$14:$B$213,MATCH(A319,Bestand!$A$14:$A$213,0)),"ID unbekannt"))</f>
        <v/>
      </c>
      <c r="C319" s="63" t="n"/>
      <c r="D319" s="62" t="n"/>
      <c r="E319" s="60" t="n"/>
      <c r="F319" s="60" t="n"/>
      <c r="G319" s="61" t="n"/>
      <c r="H319" s="69">
        <f>IF(OR(A319="",C319=""),"",COUNTIFS($A$7:$A$1006,A319,$C$7:$C$1006,"&lt;"&amp;C319)+1)</f>
        <v/>
      </c>
      <c r="I319" s="67">
        <f>IF(H319="","",IF(H319=1,"",C319-_xlfn.MAXIFS($C$7:$C$1006,$A$7:$A$1006,A319,$C$7:$C$1006,"&lt;"&amp;C319)))</f>
        <v/>
      </c>
      <c r="J319" s="68">
        <f>IF(I319="","",I319/TpM)</f>
        <v/>
      </c>
      <c r="K319" s="69">
        <f>IF(H319="","",COUNTIFS($A$7:$A$1006,A319,$C$7:$C$1006,"&gt;0")-H319)</f>
        <v/>
      </c>
      <c r="L319" s="69">
        <f>IF(H319="","",A319&amp;"|"&amp;H319)</f>
        <v/>
      </c>
      <c r="M319" s="69">
        <f>IF(A319="","",IFERROR(INDEX(Bestand!$AC$14:$AC$213,MATCH(A319,Bestand!$A$14:$A$213,0)),0))</f>
        <v/>
      </c>
      <c r="N319" s="69">
        <f>IF(OR(H319="",M319&lt;&gt;1),"",C319+ROW()/100000)</f>
        <v/>
      </c>
    </row>
    <row r="320" ht="20" customHeight="1">
      <c r="A320" s="60" t="n"/>
      <c r="B320" s="65">
        <f>IF(A320="","",IFERROR(INDEX(Bestand!$B$14:$B$213,MATCH(A320,Bestand!$A$14:$A$213,0)),"ID unbekannt"))</f>
        <v/>
      </c>
      <c r="C320" s="63" t="n"/>
      <c r="D320" s="62" t="n"/>
      <c r="E320" s="60" t="n"/>
      <c r="F320" s="60" t="n"/>
      <c r="G320" s="61" t="n"/>
      <c r="H320" s="69">
        <f>IF(OR(A320="",C320=""),"",COUNTIFS($A$7:$A$1006,A320,$C$7:$C$1006,"&lt;"&amp;C320)+1)</f>
        <v/>
      </c>
      <c r="I320" s="67">
        <f>IF(H320="","",IF(H320=1,"",C320-_xlfn.MAXIFS($C$7:$C$1006,$A$7:$A$1006,A320,$C$7:$C$1006,"&lt;"&amp;C320)))</f>
        <v/>
      </c>
      <c r="J320" s="68">
        <f>IF(I320="","",I320/TpM)</f>
        <v/>
      </c>
      <c r="K320" s="69">
        <f>IF(H320="","",COUNTIFS($A$7:$A$1006,A320,$C$7:$C$1006,"&gt;0")-H320)</f>
        <v/>
      </c>
      <c r="L320" s="69">
        <f>IF(H320="","",A320&amp;"|"&amp;H320)</f>
        <v/>
      </c>
      <c r="M320" s="69">
        <f>IF(A320="","",IFERROR(INDEX(Bestand!$AC$14:$AC$213,MATCH(A320,Bestand!$A$14:$A$213,0)),0))</f>
        <v/>
      </c>
      <c r="N320" s="69">
        <f>IF(OR(H320="",M320&lt;&gt;1),"",C320+ROW()/100000)</f>
        <v/>
      </c>
    </row>
    <row r="321" ht="20" customHeight="1">
      <c r="A321" s="60" t="n"/>
      <c r="B321" s="65">
        <f>IF(A321="","",IFERROR(INDEX(Bestand!$B$14:$B$213,MATCH(A321,Bestand!$A$14:$A$213,0)),"ID unbekannt"))</f>
        <v/>
      </c>
      <c r="C321" s="63" t="n"/>
      <c r="D321" s="62" t="n"/>
      <c r="E321" s="60" t="n"/>
      <c r="F321" s="60" t="n"/>
      <c r="G321" s="61" t="n"/>
      <c r="H321" s="69">
        <f>IF(OR(A321="",C321=""),"",COUNTIFS($A$7:$A$1006,A321,$C$7:$C$1006,"&lt;"&amp;C321)+1)</f>
        <v/>
      </c>
      <c r="I321" s="67">
        <f>IF(H321="","",IF(H321=1,"",C321-_xlfn.MAXIFS($C$7:$C$1006,$A$7:$A$1006,A321,$C$7:$C$1006,"&lt;"&amp;C321)))</f>
        <v/>
      </c>
      <c r="J321" s="68">
        <f>IF(I321="","",I321/TpM)</f>
        <v/>
      </c>
      <c r="K321" s="69">
        <f>IF(H321="","",COUNTIFS($A$7:$A$1006,A321,$C$7:$C$1006,"&gt;0")-H321)</f>
        <v/>
      </c>
      <c r="L321" s="69">
        <f>IF(H321="","",A321&amp;"|"&amp;H321)</f>
        <v/>
      </c>
      <c r="M321" s="69">
        <f>IF(A321="","",IFERROR(INDEX(Bestand!$AC$14:$AC$213,MATCH(A321,Bestand!$A$14:$A$213,0)),0))</f>
        <v/>
      </c>
      <c r="N321" s="69">
        <f>IF(OR(H321="",M321&lt;&gt;1),"",C321+ROW()/100000)</f>
        <v/>
      </c>
    </row>
    <row r="322" ht="20" customHeight="1">
      <c r="A322" s="60" t="n"/>
      <c r="B322" s="65">
        <f>IF(A322="","",IFERROR(INDEX(Bestand!$B$14:$B$213,MATCH(A322,Bestand!$A$14:$A$213,0)),"ID unbekannt"))</f>
        <v/>
      </c>
      <c r="C322" s="63" t="n"/>
      <c r="D322" s="62" t="n"/>
      <c r="E322" s="60" t="n"/>
      <c r="F322" s="60" t="n"/>
      <c r="G322" s="61" t="n"/>
      <c r="H322" s="69">
        <f>IF(OR(A322="",C322=""),"",COUNTIFS($A$7:$A$1006,A322,$C$7:$C$1006,"&lt;"&amp;C322)+1)</f>
        <v/>
      </c>
      <c r="I322" s="67">
        <f>IF(H322="","",IF(H322=1,"",C322-_xlfn.MAXIFS($C$7:$C$1006,$A$7:$A$1006,A322,$C$7:$C$1006,"&lt;"&amp;C322)))</f>
        <v/>
      </c>
      <c r="J322" s="68">
        <f>IF(I322="","",I322/TpM)</f>
        <v/>
      </c>
      <c r="K322" s="69">
        <f>IF(H322="","",COUNTIFS($A$7:$A$1006,A322,$C$7:$C$1006,"&gt;0")-H322)</f>
        <v/>
      </c>
      <c r="L322" s="69">
        <f>IF(H322="","",A322&amp;"|"&amp;H322)</f>
        <v/>
      </c>
      <c r="M322" s="69">
        <f>IF(A322="","",IFERROR(INDEX(Bestand!$AC$14:$AC$213,MATCH(A322,Bestand!$A$14:$A$213,0)),0))</f>
        <v/>
      </c>
      <c r="N322" s="69">
        <f>IF(OR(H322="",M322&lt;&gt;1),"",C322+ROW()/100000)</f>
        <v/>
      </c>
    </row>
    <row r="323" ht="20" customHeight="1">
      <c r="A323" s="60" t="n"/>
      <c r="B323" s="65">
        <f>IF(A323="","",IFERROR(INDEX(Bestand!$B$14:$B$213,MATCH(A323,Bestand!$A$14:$A$213,0)),"ID unbekannt"))</f>
        <v/>
      </c>
      <c r="C323" s="63" t="n"/>
      <c r="D323" s="62" t="n"/>
      <c r="E323" s="60" t="n"/>
      <c r="F323" s="60" t="n"/>
      <c r="G323" s="61" t="n"/>
      <c r="H323" s="69">
        <f>IF(OR(A323="",C323=""),"",COUNTIFS($A$7:$A$1006,A323,$C$7:$C$1006,"&lt;"&amp;C323)+1)</f>
        <v/>
      </c>
      <c r="I323" s="67">
        <f>IF(H323="","",IF(H323=1,"",C323-_xlfn.MAXIFS($C$7:$C$1006,$A$7:$A$1006,A323,$C$7:$C$1006,"&lt;"&amp;C323)))</f>
        <v/>
      </c>
      <c r="J323" s="68">
        <f>IF(I323="","",I323/TpM)</f>
        <v/>
      </c>
      <c r="K323" s="69">
        <f>IF(H323="","",COUNTIFS($A$7:$A$1006,A323,$C$7:$C$1006,"&gt;0")-H323)</f>
        <v/>
      </c>
      <c r="L323" s="69">
        <f>IF(H323="","",A323&amp;"|"&amp;H323)</f>
        <v/>
      </c>
      <c r="M323" s="69">
        <f>IF(A323="","",IFERROR(INDEX(Bestand!$AC$14:$AC$213,MATCH(A323,Bestand!$A$14:$A$213,0)),0))</f>
        <v/>
      </c>
      <c r="N323" s="69">
        <f>IF(OR(H323="",M323&lt;&gt;1),"",C323+ROW()/100000)</f>
        <v/>
      </c>
    </row>
    <row r="324" ht="20" customHeight="1">
      <c r="A324" s="60" t="n"/>
      <c r="B324" s="65">
        <f>IF(A324="","",IFERROR(INDEX(Bestand!$B$14:$B$213,MATCH(A324,Bestand!$A$14:$A$213,0)),"ID unbekannt"))</f>
        <v/>
      </c>
      <c r="C324" s="63" t="n"/>
      <c r="D324" s="62" t="n"/>
      <c r="E324" s="60" t="n"/>
      <c r="F324" s="60" t="n"/>
      <c r="G324" s="61" t="n"/>
      <c r="H324" s="69">
        <f>IF(OR(A324="",C324=""),"",COUNTIFS($A$7:$A$1006,A324,$C$7:$C$1006,"&lt;"&amp;C324)+1)</f>
        <v/>
      </c>
      <c r="I324" s="67">
        <f>IF(H324="","",IF(H324=1,"",C324-_xlfn.MAXIFS($C$7:$C$1006,$A$7:$A$1006,A324,$C$7:$C$1006,"&lt;"&amp;C324)))</f>
        <v/>
      </c>
      <c r="J324" s="68">
        <f>IF(I324="","",I324/TpM)</f>
        <v/>
      </c>
      <c r="K324" s="69">
        <f>IF(H324="","",COUNTIFS($A$7:$A$1006,A324,$C$7:$C$1006,"&gt;0")-H324)</f>
        <v/>
      </c>
      <c r="L324" s="69">
        <f>IF(H324="","",A324&amp;"|"&amp;H324)</f>
        <v/>
      </c>
      <c r="M324" s="69">
        <f>IF(A324="","",IFERROR(INDEX(Bestand!$AC$14:$AC$213,MATCH(A324,Bestand!$A$14:$A$213,0)),0))</f>
        <v/>
      </c>
      <c r="N324" s="69">
        <f>IF(OR(H324="",M324&lt;&gt;1),"",C324+ROW()/100000)</f>
        <v/>
      </c>
    </row>
    <row r="325" ht="20" customHeight="1">
      <c r="A325" s="60" t="n"/>
      <c r="B325" s="65">
        <f>IF(A325="","",IFERROR(INDEX(Bestand!$B$14:$B$213,MATCH(A325,Bestand!$A$14:$A$213,0)),"ID unbekannt"))</f>
        <v/>
      </c>
      <c r="C325" s="63" t="n"/>
      <c r="D325" s="62" t="n"/>
      <c r="E325" s="60" t="n"/>
      <c r="F325" s="60" t="n"/>
      <c r="G325" s="61" t="n"/>
      <c r="H325" s="69">
        <f>IF(OR(A325="",C325=""),"",COUNTIFS($A$7:$A$1006,A325,$C$7:$C$1006,"&lt;"&amp;C325)+1)</f>
        <v/>
      </c>
      <c r="I325" s="67">
        <f>IF(H325="","",IF(H325=1,"",C325-_xlfn.MAXIFS($C$7:$C$1006,$A$7:$A$1006,A325,$C$7:$C$1006,"&lt;"&amp;C325)))</f>
        <v/>
      </c>
      <c r="J325" s="68">
        <f>IF(I325="","",I325/TpM)</f>
        <v/>
      </c>
      <c r="K325" s="69">
        <f>IF(H325="","",COUNTIFS($A$7:$A$1006,A325,$C$7:$C$1006,"&gt;0")-H325)</f>
        <v/>
      </c>
      <c r="L325" s="69">
        <f>IF(H325="","",A325&amp;"|"&amp;H325)</f>
        <v/>
      </c>
      <c r="M325" s="69">
        <f>IF(A325="","",IFERROR(INDEX(Bestand!$AC$14:$AC$213,MATCH(A325,Bestand!$A$14:$A$213,0)),0))</f>
        <v/>
      </c>
      <c r="N325" s="69">
        <f>IF(OR(H325="",M325&lt;&gt;1),"",C325+ROW()/100000)</f>
        <v/>
      </c>
    </row>
    <row r="326" ht="20" customHeight="1">
      <c r="A326" s="60" t="n"/>
      <c r="B326" s="65">
        <f>IF(A326="","",IFERROR(INDEX(Bestand!$B$14:$B$213,MATCH(A326,Bestand!$A$14:$A$213,0)),"ID unbekannt"))</f>
        <v/>
      </c>
      <c r="C326" s="63" t="n"/>
      <c r="D326" s="62" t="n"/>
      <c r="E326" s="60" t="n"/>
      <c r="F326" s="60" t="n"/>
      <c r="G326" s="61" t="n"/>
      <c r="H326" s="69">
        <f>IF(OR(A326="",C326=""),"",COUNTIFS($A$7:$A$1006,A326,$C$7:$C$1006,"&lt;"&amp;C326)+1)</f>
        <v/>
      </c>
      <c r="I326" s="67">
        <f>IF(H326="","",IF(H326=1,"",C326-_xlfn.MAXIFS($C$7:$C$1006,$A$7:$A$1006,A326,$C$7:$C$1006,"&lt;"&amp;C326)))</f>
        <v/>
      </c>
      <c r="J326" s="68">
        <f>IF(I326="","",I326/TpM)</f>
        <v/>
      </c>
      <c r="K326" s="69">
        <f>IF(H326="","",COUNTIFS($A$7:$A$1006,A326,$C$7:$C$1006,"&gt;0")-H326)</f>
        <v/>
      </c>
      <c r="L326" s="69">
        <f>IF(H326="","",A326&amp;"|"&amp;H326)</f>
        <v/>
      </c>
      <c r="M326" s="69">
        <f>IF(A326="","",IFERROR(INDEX(Bestand!$AC$14:$AC$213,MATCH(A326,Bestand!$A$14:$A$213,0)),0))</f>
        <v/>
      </c>
      <c r="N326" s="69">
        <f>IF(OR(H326="",M326&lt;&gt;1),"",C326+ROW()/100000)</f>
        <v/>
      </c>
    </row>
    <row r="327" ht="20" customHeight="1">
      <c r="A327" s="60" t="n"/>
      <c r="B327" s="65">
        <f>IF(A327="","",IFERROR(INDEX(Bestand!$B$14:$B$213,MATCH(A327,Bestand!$A$14:$A$213,0)),"ID unbekannt"))</f>
        <v/>
      </c>
      <c r="C327" s="63" t="n"/>
      <c r="D327" s="62" t="n"/>
      <c r="E327" s="60" t="n"/>
      <c r="F327" s="60" t="n"/>
      <c r="G327" s="61" t="n"/>
      <c r="H327" s="69">
        <f>IF(OR(A327="",C327=""),"",COUNTIFS($A$7:$A$1006,A327,$C$7:$C$1006,"&lt;"&amp;C327)+1)</f>
        <v/>
      </c>
      <c r="I327" s="67">
        <f>IF(H327="","",IF(H327=1,"",C327-_xlfn.MAXIFS($C$7:$C$1006,$A$7:$A$1006,A327,$C$7:$C$1006,"&lt;"&amp;C327)))</f>
        <v/>
      </c>
      <c r="J327" s="68">
        <f>IF(I327="","",I327/TpM)</f>
        <v/>
      </c>
      <c r="K327" s="69">
        <f>IF(H327="","",COUNTIFS($A$7:$A$1006,A327,$C$7:$C$1006,"&gt;0")-H327)</f>
        <v/>
      </c>
      <c r="L327" s="69">
        <f>IF(H327="","",A327&amp;"|"&amp;H327)</f>
        <v/>
      </c>
      <c r="M327" s="69">
        <f>IF(A327="","",IFERROR(INDEX(Bestand!$AC$14:$AC$213,MATCH(A327,Bestand!$A$14:$A$213,0)),0))</f>
        <v/>
      </c>
      <c r="N327" s="69">
        <f>IF(OR(H327="",M327&lt;&gt;1),"",C327+ROW()/100000)</f>
        <v/>
      </c>
    </row>
    <row r="328" ht="20" customHeight="1">
      <c r="A328" s="60" t="n"/>
      <c r="B328" s="65">
        <f>IF(A328="","",IFERROR(INDEX(Bestand!$B$14:$B$213,MATCH(A328,Bestand!$A$14:$A$213,0)),"ID unbekannt"))</f>
        <v/>
      </c>
      <c r="C328" s="63" t="n"/>
      <c r="D328" s="62" t="n"/>
      <c r="E328" s="60" t="n"/>
      <c r="F328" s="60" t="n"/>
      <c r="G328" s="61" t="n"/>
      <c r="H328" s="69">
        <f>IF(OR(A328="",C328=""),"",COUNTIFS($A$7:$A$1006,A328,$C$7:$C$1006,"&lt;"&amp;C328)+1)</f>
        <v/>
      </c>
      <c r="I328" s="67">
        <f>IF(H328="","",IF(H328=1,"",C328-_xlfn.MAXIFS($C$7:$C$1006,$A$7:$A$1006,A328,$C$7:$C$1006,"&lt;"&amp;C328)))</f>
        <v/>
      </c>
      <c r="J328" s="68">
        <f>IF(I328="","",I328/TpM)</f>
        <v/>
      </c>
      <c r="K328" s="69">
        <f>IF(H328="","",COUNTIFS($A$7:$A$1006,A328,$C$7:$C$1006,"&gt;0")-H328)</f>
        <v/>
      </c>
      <c r="L328" s="69">
        <f>IF(H328="","",A328&amp;"|"&amp;H328)</f>
        <v/>
      </c>
      <c r="M328" s="69">
        <f>IF(A328="","",IFERROR(INDEX(Bestand!$AC$14:$AC$213,MATCH(A328,Bestand!$A$14:$A$213,0)),0))</f>
        <v/>
      </c>
      <c r="N328" s="69">
        <f>IF(OR(H328="",M328&lt;&gt;1),"",C328+ROW()/100000)</f>
        <v/>
      </c>
    </row>
    <row r="329" ht="20" customHeight="1">
      <c r="A329" s="60" t="n"/>
      <c r="B329" s="65">
        <f>IF(A329="","",IFERROR(INDEX(Bestand!$B$14:$B$213,MATCH(A329,Bestand!$A$14:$A$213,0)),"ID unbekannt"))</f>
        <v/>
      </c>
      <c r="C329" s="63" t="n"/>
      <c r="D329" s="62" t="n"/>
      <c r="E329" s="60" t="n"/>
      <c r="F329" s="60" t="n"/>
      <c r="G329" s="61" t="n"/>
      <c r="H329" s="69">
        <f>IF(OR(A329="",C329=""),"",COUNTIFS($A$7:$A$1006,A329,$C$7:$C$1006,"&lt;"&amp;C329)+1)</f>
        <v/>
      </c>
      <c r="I329" s="67">
        <f>IF(H329="","",IF(H329=1,"",C329-_xlfn.MAXIFS($C$7:$C$1006,$A$7:$A$1006,A329,$C$7:$C$1006,"&lt;"&amp;C329)))</f>
        <v/>
      </c>
      <c r="J329" s="68">
        <f>IF(I329="","",I329/TpM)</f>
        <v/>
      </c>
      <c r="K329" s="69">
        <f>IF(H329="","",COUNTIFS($A$7:$A$1006,A329,$C$7:$C$1006,"&gt;0")-H329)</f>
        <v/>
      </c>
      <c r="L329" s="69">
        <f>IF(H329="","",A329&amp;"|"&amp;H329)</f>
        <v/>
      </c>
      <c r="M329" s="69">
        <f>IF(A329="","",IFERROR(INDEX(Bestand!$AC$14:$AC$213,MATCH(A329,Bestand!$A$14:$A$213,0)),0))</f>
        <v/>
      </c>
      <c r="N329" s="69">
        <f>IF(OR(H329="",M329&lt;&gt;1),"",C329+ROW()/100000)</f>
        <v/>
      </c>
    </row>
    <row r="330" ht="20" customHeight="1">
      <c r="A330" s="60" t="n"/>
      <c r="B330" s="65">
        <f>IF(A330="","",IFERROR(INDEX(Bestand!$B$14:$B$213,MATCH(A330,Bestand!$A$14:$A$213,0)),"ID unbekannt"))</f>
        <v/>
      </c>
      <c r="C330" s="63" t="n"/>
      <c r="D330" s="62" t="n"/>
      <c r="E330" s="60" t="n"/>
      <c r="F330" s="60" t="n"/>
      <c r="G330" s="61" t="n"/>
      <c r="H330" s="69">
        <f>IF(OR(A330="",C330=""),"",COUNTIFS($A$7:$A$1006,A330,$C$7:$C$1006,"&lt;"&amp;C330)+1)</f>
        <v/>
      </c>
      <c r="I330" s="67">
        <f>IF(H330="","",IF(H330=1,"",C330-_xlfn.MAXIFS($C$7:$C$1006,$A$7:$A$1006,A330,$C$7:$C$1006,"&lt;"&amp;C330)))</f>
        <v/>
      </c>
      <c r="J330" s="68">
        <f>IF(I330="","",I330/TpM)</f>
        <v/>
      </c>
      <c r="K330" s="69">
        <f>IF(H330="","",COUNTIFS($A$7:$A$1006,A330,$C$7:$C$1006,"&gt;0")-H330)</f>
        <v/>
      </c>
      <c r="L330" s="69">
        <f>IF(H330="","",A330&amp;"|"&amp;H330)</f>
        <v/>
      </c>
      <c r="M330" s="69">
        <f>IF(A330="","",IFERROR(INDEX(Bestand!$AC$14:$AC$213,MATCH(A330,Bestand!$A$14:$A$213,0)),0))</f>
        <v/>
      </c>
      <c r="N330" s="69">
        <f>IF(OR(H330="",M330&lt;&gt;1),"",C330+ROW()/100000)</f>
        <v/>
      </c>
    </row>
    <row r="331" ht="20" customHeight="1">
      <c r="A331" s="60" t="n"/>
      <c r="B331" s="65">
        <f>IF(A331="","",IFERROR(INDEX(Bestand!$B$14:$B$213,MATCH(A331,Bestand!$A$14:$A$213,0)),"ID unbekannt"))</f>
        <v/>
      </c>
      <c r="C331" s="63" t="n"/>
      <c r="D331" s="62" t="n"/>
      <c r="E331" s="60" t="n"/>
      <c r="F331" s="60" t="n"/>
      <c r="G331" s="61" t="n"/>
      <c r="H331" s="69">
        <f>IF(OR(A331="",C331=""),"",COUNTIFS($A$7:$A$1006,A331,$C$7:$C$1006,"&lt;"&amp;C331)+1)</f>
        <v/>
      </c>
      <c r="I331" s="67">
        <f>IF(H331="","",IF(H331=1,"",C331-_xlfn.MAXIFS($C$7:$C$1006,$A$7:$A$1006,A331,$C$7:$C$1006,"&lt;"&amp;C331)))</f>
        <v/>
      </c>
      <c r="J331" s="68">
        <f>IF(I331="","",I331/TpM)</f>
        <v/>
      </c>
      <c r="K331" s="69">
        <f>IF(H331="","",COUNTIFS($A$7:$A$1006,A331,$C$7:$C$1006,"&gt;0")-H331)</f>
        <v/>
      </c>
      <c r="L331" s="69">
        <f>IF(H331="","",A331&amp;"|"&amp;H331)</f>
        <v/>
      </c>
      <c r="M331" s="69">
        <f>IF(A331="","",IFERROR(INDEX(Bestand!$AC$14:$AC$213,MATCH(A331,Bestand!$A$14:$A$213,0)),0))</f>
        <v/>
      </c>
      <c r="N331" s="69">
        <f>IF(OR(H331="",M331&lt;&gt;1),"",C331+ROW()/100000)</f>
        <v/>
      </c>
    </row>
    <row r="332" ht="20" customHeight="1">
      <c r="A332" s="60" t="n"/>
      <c r="B332" s="65">
        <f>IF(A332="","",IFERROR(INDEX(Bestand!$B$14:$B$213,MATCH(A332,Bestand!$A$14:$A$213,0)),"ID unbekannt"))</f>
        <v/>
      </c>
      <c r="C332" s="63" t="n"/>
      <c r="D332" s="62" t="n"/>
      <c r="E332" s="60" t="n"/>
      <c r="F332" s="60" t="n"/>
      <c r="G332" s="61" t="n"/>
      <c r="H332" s="69">
        <f>IF(OR(A332="",C332=""),"",COUNTIFS($A$7:$A$1006,A332,$C$7:$C$1006,"&lt;"&amp;C332)+1)</f>
        <v/>
      </c>
      <c r="I332" s="67">
        <f>IF(H332="","",IF(H332=1,"",C332-_xlfn.MAXIFS($C$7:$C$1006,$A$7:$A$1006,A332,$C$7:$C$1006,"&lt;"&amp;C332)))</f>
        <v/>
      </c>
      <c r="J332" s="68">
        <f>IF(I332="","",I332/TpM)</f>
        <v/>
      </c>
      <c r="K332" s="69">
        <f>IF(H332="","",COUNTIFS($A$7:$A$1006,A332,$C$7:$C$1006,"&gt;0")-H332)</f>
        <v/>
      </c>
      <c r="L332" s="69">
        <f>IF(H332="","",A332&amp;"|"&amp;H332)</f>
        <v/>
      </c>
      <c r="M332" s="69">
        <f>IF(A332="","",IFERROR(INDEX(Bestand!$AC$14:$AC$213,MATCH(A332,Bestand!$A$14:$A$213,0)),0))</f>
        <v/>
      </c>
      <c r="N332" s="69">
        <f>IF(OR(H332="",M332&lt;&gt;1),"",C332+ROW()/100000)</f>
        <v/>
      </c>
    </row>
    <row r="333" ht="20" customHeight="1">
      <c r="A333" s="60" t="n"/>
      <c r="B333" s="65">
        <f>IF(A333="","",IFERROR(INDEX(Bestand!$B$14:$B$213,MATCH(A333,Bestand!$A$14:$A$213,0)),"ID unbekannt"))</f>
        <v/>
      </c>
      <c r="C333" s="63" t="n"/>
      <c r="D333" s="62" t="n"/>
      <c r="E333" s="60" t="n"/>
      <c r="F333" s="60" t="n"/>
      <c r="G333" s="61" t="n"/>
      <c r="H333" s="69">
        <f>IF(OR(A333="",C333=""),"",COUNTIFS($A$7:$A$1006,A333,$C$7:$C$1006,"&lt;"&amp;C333)+1)</f>
        <v/>
      </c>
      <c r="I333" s="67">
        <f>IF(H333="","",IF(H333=1,"",C333-_xlfn.MAXIFS($C$7:$C$1006,$A$7:$A$1006,A333,$C$7:$C$1006,"&lt;"&amp;C333)))</f>
        <v/>
      </c>
      <c r="J333" s="68">
        <f>IF(I333="","",I333/TpM)</f>
        <v/>
      </c>
      <c r="K333" s="69">
        <f>IF(H333="","",COUNTIFS($A$7:$A$1006,A333,$C$7:$C$1006,"&gt;0")-H333)</f>
        <v/>
      </c>
      <c r="L333" s="69">
        <f>IF(H333="","",A333&amp;"|"&amp;H333)</f>
        <v/>
      </c>
      <c r="M333" s="69">
        <f>IF(A333="","",IFERROR(INDEX(Bestand!$AC$14:$AC$213,MATCH(A333,Bestand!$A$14:$A$213,0)),0))</f>
        <v/>
      </c>
      <c r="N333" s="69">
        <f>IF(OR(H333="",M333&lt;&gt;1),"",C333+ROW()/100000)</f>
        <v/>
      </c>
    </row>
    <row r="334" ht="20" customHeight="1">
      <c r="A334" s="60" t="n"/>
      <c r="B334" s="65">
        <f>IF(A334="","",IFERROR(INDEX(Bestand!$B$14:$B$213,MATCH(A334,Bestand!$A$14:$A$213,0)),"ID unbekannt"))</f>
        <v/>
      </c>
      <c r="C334" s="63" t="n"/>
      <c r="D334" s="62" t="n"/>
      <c r="E334" s="60" t="n"/>
      <c r="F334" s="60" t="n"/>
      <c r="G334" s="61" t="n"/>
      <c r="H334" s="69">
        <f>IF(OR(A334="",C334=""),"",COUNTIFS($A$7:$A$1006,A334,$C$7:$C$1006,"&lt;"&amp;C334)+1)</f>
        <v/>
      </c>
      <c r="I334" s="67">
        <f>IF(H334="","",IF(H334=1,"",C334-_xlfn.MAXIFS($C$7:$C$1006,$A$7:$A$1006,A334,$C$7:$C$1006,"&lt;"&amp;C334)))</f>
        <v/>
      </c>
      <c r="J334" s="68">
        <f>IF(I334="","",I334/TpM)</f>
        <v/>
      </c>
      <c r="K334" s="69">
        <f>IF(H334="","",COUNTIFS($A$7:$A$1006,A334,$C$7:$C$1006,"&gt;0")-H334)</f>
        <v/>
      </c>
      <c r="L334" s="69">
        <f>IF(H334="","",A334&amp;"|"&amp;H334)</f>
        <v/>
      </c>
      <c r="M334" s="69">
        <f>IF(A334="","",IFERROR(INDEX(Bestand!$AC$14:$AC$213,MATCH(A334,Bestand!$A$14:$A$213,0)),0))</f>
        <v/>
      </c>
      <c r="N334" s="69">
        <f>IF(OR(H334="",M334&lt;&gt;1),"",C334+ROW()/100000)</f>
        <v/>
      </c>
    </row>
    <row r="335" ht="20" customHeight="1">
      <c r="A335" s="60" t="n"/>
      <c r="B335" s="65">
        <f>IF(A335="","",IFERROR(INDEX(Bestand!$B$14:$B$213,MATCH(A335,Bestand!$A$14:$A$213,0)),"ID unbekannt"))</f>
        <v/>
      </c>
      <c r="C335" s="63" t="n"/>
      <c r="D335" s="62" t="n"/>
      <c r="E335" s="60" t="n"/>
      <c r="F335" s="60" t="n"/>
      <c r="G335" s="61" t="n"/>
      <c r="H335" s="69">
        <f>IF(OR(A335="",C335=""),"",COUNTIFS($A$7:$A$1006,A335,$C$7:$C$1006,"&lt;"&amp;C335)+1)</f>
        <v/>
      </c>
      <c r="I335" s="67">
        <f>IF(H335="","",IF(H335=1,"",C335-_xlfn.MAXIFS($C$7:$C$1006,$A$7:$A$1006,A335,$C$7:$C$1006,"&lt;"&amp;C335)))</f>
        <v/>
      </c>
      <c r="J335" s="68">
        <f>IF(I335="","",I335/TpM)</f>
        <v/>
      </c>
      <c r="K335" s="69">
        <f>IF(H335="","",COUNTIFS($A$7:$A$1006,A335,$C$7:$C$1006,"&gt;0")-H335)</f>
        <v/>
      </c>
      <c r="L335" s="69">
        <f>IF(H335="","",A335&amp;"|"&amp;H335)</f>
        <v/>
      </c>
      <c r="M335" s="69">
        <f>IF(A335="","",IFERROR(INDEX(Bestand!$AC$14:$AC$213,MATCH(A335,Bestand!$A$14:$A$213,0)),0))</f>
        <v/>
      </c>
      <c r="N335" s="69">
        <f>IF(OR(H335="",M335&lt;&gt;1),"",C335+ROW()/100000)</f>
        <v/>
      </c>
    </row>
    <row r="336" ht="20" customHeight="1">
      <c r="A336" s="60" t="n"/>
      <c r="B336" s="65">
        <f>IF(A336="","",IFERROR(INDEX(Bestand!$B$14:$B$213,MATCH(A336,Bestand!$A$14:$A$213,0)),"ID unbekannt"))</f>
        <v/>
      </c>
      <c r="C336" s="63" t="n"/>
      <c r="D336" s="62" t="n"/>
      <c r="E336" s="60" t="n"/>
      <c r="F336" s="60" t="n"/>
      <c r="G336" s="61" t="n"/>
      <c r="H336" s="69">
        <f>IF(OR(A336="",C336=""),"",COUNTIFS($A$7:$A$1006,A336,$C$7:$C$1006,"&lt;"&amp;C336)+1)</f>
        <v/>
      </c>
      <c r="I336" s="67">
        <f>IF(H336="","",IF(H336=1,"",C336-_xlfn.MAXIFS($C$7:$C$1006,$A$7:$A$1006,A336,$C$7:$C$1006,"&lt;"&amp;C336)))</f>
        <v/>
      </c>
      <c r="J336" s="68">
        <f>IF(I336="","",I336/TpM)</f>
        <v/>
      </c>
      <c r="K336" s="69">
        <f>IF(H336="","",COUNTIFS($A$7:$A$1006,A336,$C$7:$C$1006,"&gt;0")-H336)</f>
        <v/>
      </c>
      <c r="L336" s="69">
        <f>IF(H336="","",A336&amp;"|"&amp;H336)</f>
        <v/>
      </c>
      <c r="M336" s="69">
        <f>IF(A336="","",IFERROR(INDEX(Bestand!$AC$14:$AC$213,MATCH(A336,Bestand!$A$14:$A$213,0)),0))</f>
        <v/>
      </c>
      <c r="N336" s="69">
        <f>IF(OR(H336="",M336&lt;&gt;1),"",C336+ROW()/100000)</f>
        <v/>
      </c>
    </row>
    <row r="337" ht="20" customHeight="1">
      <c r="A337" s="60" t="n"/>
      <c r="B337" s="65">
        <f>IF(A337="","",IFERROR(INDEX(Bestand!$B$14:$B$213,MATCH(A337,Bestand!$A$14:$A$213,0)),"ID unbekannt"))</f>
        <v/>
      </c>
      <c r="C337" s="63" t="n"/>
      <c r="D337" s="62" t="n"/>
      <c r="E337" s="60" t="n"/>
      <c r="F337" s="60" t="n"/>
      <c r="G337" s="61" t="n"/>
      <c r="H337" s="69">
        <f>IF(OR(A337="",C337=""),"",COUNTIFS($A$7:$A$1006,A337,$C$7:$C$1006,"&lt;"&amp;C337)+1)</f>
        <v/>
      </c>
      <c r="I337" s="67">
        <f>IF(H337="","",IF(H337=1,"",C337-_xlfn.MAXIFS($C$7:$C$1006,$A$7:$A$1006,A337,$C$7:$C$1006,"&lt;"&amp;C337)))</f>
        <v/>
      </c>
      <c r="J337" s="68">
        <f>IF(I337="","",I337/TpM)</f>
        <v/>
      </c>
      <c r="K337" s="69">
        <f>IF(H337="","",COUNTIFS($A$7:$A$1006,A337,$C$7:$C$1006,"&gt;0")-H337)</f>
        <v/>
      </c>
      <c r="L337" s="69">
        <f>IF(H337="","",A337&amp;"|"&amp;H337)</f>
        <v/>
      </c>
      <c r="M337" s="69">
        <f>IF(A337="","",IFERROR(INDEX(Bestand!$AC$14:$AC$213,MATCH(A337,Bestand!$A$14:$A$213,0)),0))</f>
        <v/>
      </c>
      <c r="N337" s="69">
        <f>IF(OR(H337="",M337&lt;&gt;1),"",C337+ROW()/100000)</f>
        <v/>
      </c>
    </row>
    <row r="338" ht="20" customHeight="1">
      <c r="A338" s="60" t="n"/>
      <c r="B338" s="65">
        <f>IF(A338="","",IFERROR(INDEX(Bestand!$B$14:$B$213,MATCH(A338,Bestand!$A$14:$A$213,0)),"ID unbekannt"))</f>
        <v/>
      </c>
      <c r="C338" s="63" t="n"/>
      <c r="D338" s="62" t="n"/>
      <c r="E338" s="60" t="n"/>
      <c r="F338" s="60" t="n"/>
      <c r="G338" s="61" t="n"/>
      <c r="H338" s="69">
        <f>IF(OR(A338="",C338=""),"",COUNTIFS($A$7:$A$1006,A338,$C$7:$C$1006,"&lt;"&amp;C338)+1)</f>
        <v/>
      </c>
      <c r="I338" s="67">
        <f>IF(H338="","",IF(H338=1,"",C338-_xlfn.MAXIFS($C$7:$C$1006,$A$7:$A$1006,A338,$C$7:$C$1006,"&lt;"&amp;C338)))</f>
        <v/>
      </c>
      <c r="J338" s="68">
        <f>IF(I338="","",I338/TpM)</f>
        <v/>
      </c>
      <c r="K338" s="69">
        <f>IF(H338="","",COUNTIFS($A$7:$A$1006,A338,$C$7:$C$1006,"&gt;0")-H338)</f>
        <v/>
      </c>
      <c r="L338" s="69">
        <f>IF(H338="","",A338&amp;"|"&amp;H338)</f>
        <v/>
      </c>
      <c r="M338" s="69">
        <f>IF(A338="","",IFERROR(INDEX(Bestand!$AC$14:$AC$213,MATCH(A338,Bestand!$A$14:$A$213,0)),0))</f>
        <v/>
      </c>
      <c r="N338" s="69">
        <f>IF(OR(H338="",M338&lt;&gt;1),"",C338+ROW()/100000)</f>
        <v/>
      </c>
    </row>
    <row r="339" ht="20" customHeight="1">
      <c r="A339" s="60" t="n"/>
      <c r="B339" s="65">
        <f>IF(A339="","",IFERROR(INDEX(Bestand!$B$14:$B$213,MATCH(A339,Bestand!$A$14:$A$213,0)),"ID unbekannt"))</f>
        <v/>
      </c>
      <c r="C339" s="63" t="n"/>
      <c r="D339" s="62" t="n"/>
      <c r="E339" s="60" t="n"/>
      <c r="F339" s="60" t="n"/>
      <c r="G339" s="61" t="n"/>
      <c r="H339" s="69">
        <f>IF(OR(A339="",C339=""),"",COUNTIFS($A$7:$A$1006,A339,$C$7:$C$1006,"&lt;"&amp;C339)+1)</f>
        <v/>
      </c>
      <c r="I339" s="67">
        <f>IF(H339="","",IF(H339=1,"",C339-_xlfn.MAXIFS($C$7:$C$1006,$A$7:$A$1006,A339,$C$7:$C$1006,"&lt;"&amp;C339)))</f>
        <v/>
      </c>
      <c r="J339" s="68">
        <f>IF(I339="","",I339/TpM)</f>
        <v/>
      </c>
      <c r="K339" s="69">
        <f>IF(H339="","",COUNTIFS($A$7:$A$1006,A339,$C$7:$C$1006,"&gt;0")-H339)</f>
        <v/>
      </c>
      <c r="L339" s="69">
        <f>IF(H339="","",A339&amp;"|"&amp;H339)</f>
        <v/>
      </c>
      <c r="M339" s="69">
        <f>IF(A339="","",IFERROR(INDEX(Bestand!$AC$14:$AC$213,MATCH(A339,Bestand!$A$14:$A$213,0)),0))</f>
        <v/>
      </c>
      <c r="N339" s="69">
        <f>IF(OR(H339="",M339&lt;&gt;1),"",C339+ROW()/100000)</f>
        <v/>
      </c>
    </row>
    <row r="340" ht="20" customHeight="1">
      <c r="A340" s="60" t="n"/>
      <c r="B340" s="65">
        <f>IF(A340="","",IFERROR(INDEX(Bestand!$B$14:$B$213,MATCH(A340,Bestand!$A$14:$A$213,0)),"ID unbekannt"))</f>
        <v/>
      </c>
      <c r="C340" s="63" t="n"/>
      <c r="D340" s="62" t="n"/>
      <c r="E340" s="60" t="n"/>
      <c r="F340" s="60" t="n"/>
      <c r="G340" s="61" t="n"/>
      <c r="H340" s="69">
        <f>IF(OR(A340="",C340=""),"",COUNTIFS($A$7:$A$1006,A340,$C$7:$C$1006,"&lt;"&amp;C340)+1)</f>
        <v/>
      </c>
      <c r="I340" s="67">
        <f>IF(H340="","",IF(H340=1,"",C340-_xlfn.MAXIFS($C$7:$C$1006,$A$7:$A$1006,A340,$C$7:$C$1006,"&lt;"&amp;C340)))</f>
        <v/>
      </c>
      <c r="J340" s="68">
        <f>IF(I340="","",I340/TpM)</f>
        <v/>
      </c>
      <c r="K340" s="69">
        <f>IF(H340="","",COUNTIFS($A$7:$A$1006,A340,$C$7:$C$1006,"&gt;0")-H340)</f>
        <v/>
      </c>
      <c r="L340" s="69">
        <f>IF(H340="","",A340&amp;"|"&amp;H340)</f>
        <v/>
      </c>
      <c r="M340" s="69">
        <f>IF(A340="","",IFERROR(INDEX(Bestand!$AC$14:$AC$213,MATCH(A340,Bestand!$A$14:$A$213,0)),0))</f>
        <v/>
      </c>
      <c r="N340" s="69">
        <f>IF(OR(H340="",M340&lt;&gt;1),"",C340+ROW()/100000)</f>
        <v/>
      </c>
    </row>
    <row r="341" ht="20" customHeight="1">
      <c r="A341" s="60" t="n"/>
      <c r="B341" s="65">
        <f>IF(A341="","",IFERROR(INDEX(Bestand!$B$14:$B$213,MATCH(A341,Bestand!$A$14:$A$213,0)),"ID unbekannt"))</f>
        <v/>
      </c>
      <c r="C341" s="63" t="n"/>
      <c r="D341" s="62" t="n"/>
      <c r="E341" s="60" t="n"/>
      <c r="F341" s="60" t="n"/>
      <c r="G341" s="61" t="n"/>
      <c r="H341" s="69">
        <f>IF(OR(A341="",C341=""),"",COUNTIFS($A$7:$A$1006,A341,$C$7:$C$1006,"&lt;"&amp;C341)+1)</f>
        <v/>
      </c>
      <c r="I341" s="67">
        <f>IF(H341="","",IF(H341=1,"",C341-_xlfn.MAXIFS($C$7:$C$1006,$A$7:$A$1006,A341,$C$7:$C$1006,"&lt;"&amp;C341)))</f>
        <v/>
      </c>
      <c r="J341" s="68">
        <f>IF(I341="","",I341/TpM)</f>
        <v/>
      </c>
      <c r="K341" s="69">
        <f>IF(H341="","",COUNTIFS($A$7:$A$1006,A341,$C$7:$C$1006,"&gt;0")-H341)</f>
        <v/>
      </c>
      <c r="L341" s="69">
        <f>IF(H341="","",A341&amp;"|"&amp;H341)</f>
        <v/>
      </c>
      <c r="M341" s="69">
        <f>IF(A341="","",IFERROR(INDEX(Bestand!$AC$14:$AC$213,MATCH(A341,Bestand!$A$14:$A$213,0)),0))</f>
        <v/>
      </c>
      <c r="N341" s="69">
        <f>IF(OR(H341="",M341&lt;&gt;1),"",C341+ROW()/100000)</f>
        <v/>
      </c>
    </row>
    <row r="342" ht="20" customHeight="1">
      <c r="A342" s="60" t="n"/>
      <c r="B342" s="65">
        <f>IF(A342="","",IFERROR(INDEX(Bestand!$B$14:$B$213,MATCH(A342,Bestand!$A$14:$A$213,0)),"ID unbekannt"))</f>
        <v/>
      </c>
      <c r="C342" s="63" t="n"/>
      <c r="D342" s="62" t="n"/>
      <c r="E342" s="60" t="n"/>
      <c r="F342" s="60" t="n"/>
      <c r="G342" s="61" t="n"/>
      <c r="H342" s="69">
        <f>IF(OR(A342="",C342=""),"",COUNTIFS($A$7:$A$1006,A342,$C$7:$C$1006,"&lt;"&amp;C342)+1)</f>
        <v/>
      </c>
      <c r="I342" s="67">
        <f>IF(H342="","",IF(H342=1,"",C342-_xlfn.MAXIFS($C$7:$C$1006,$A$7:$A$1006,A342,$C$7:$C$1006,"&lt;"&amp;C342)))</f>
        <v/>
      </c>
      <c r="J342" s="68">
        <f>IF(I342="","",I342/TpM)</f>
        <v/>
      </c>
      <c r="K342" s="69">
        <f>IF(H342="","",COUNTIFS($A$7:$A$1006,A342,$C$7:$C$1006,"&gt;0")-H342)</f>
        <v/>
      </c>
      <c r="L342" s="69">
        <f>IF(H342="","",A342&amp;"|"&amp;H342)</f>
        <v/>
      </c>
      <c r="M342" s="69">
        <f>IF(A342="","",IFERROR(INDEX(Bestand!$AC$14:$AC$213,MATCH(A342,Bestand!$A$14:$A$213,0)),0))</f>
        <v/>
      </c>
      <c r="N342" s="69">
        <f>IF(OR(H342="",M342&lt;&gt;1),"",C342+ROW()/100000)</f>
        <v/>
      </c>
    </row>
    <row r="343" ht="20" customHeight="1">
      <c r="A343" s="60" t="n"/>
      <c r="B343" s="65">
        <f>IF(A343="","",IFERROR(INDEX(Bestand!$B$14:$B$213,MATCH(A343,Bestand!$A$14:$A$213,0)),"ID unbekannt"))</f>
        <v/>
      </c>
      <c r="C343" s="63" t="n"/>
      <c r="D343" s="62" t="n"/>
      <c r="E343" s="60" t="n"/>
      <c r="F343" s="60" t="n"/>
      <c r="G343" s="61" t="n"/>
      <c r="H343" s="69">
        <f>IF(OR(A343="",C343=""),"",COUNTIFS($A$7:$A$1006,A343,$C$7:$C$1006,"&lt;"&amp;C343)+1)</f>
        <v/>
      </c>
      <c r="I343" s="67">
        <f>IF(H343="","",IF(H343=1,"",C343-_xlfn.MAXIFS($C$7:$C$1006,$A$7:$A$1006,A343,$C$7:$C$1006,"&lt;"&amp;C343)))</f>
        <v/>
      </c>
      <c r="J343" s="68">
        <f>IF(I343="","",I343/TpM)</f>
        <v/>
      </c>
      <c r="K343" s="69">
        <f>IF(H343="","",COUNTIFS($A$7:$A$1006,A343,$C$7:$C$1006,"&gt;0")-H343)</f>
        <v/>
      </c>
      <c r="L343" s="69">
        <f>IF(H343="","",A343&amp;"|"&amp;H343)</f>
        <v/>
      </c>
      <c r="M343" s="69">
        <f>IF(A343="","",IFERROR(INDEX(Bestand!$AC$14:$AC$213,MATCH(A343,Bestand!$A$14:$A$213,0)),0))</f>
        <v/>
      </c>
      <c r="N343" s="69">
        <f>IF(OR(H343="",M343&lt;&gt;1),"",C343+ROW()/100000)</f>
        <v/>
      </c>
    </row>
    <row r="344" ht="20" customHeight="1">
      <c r="A344" s="60" t="n"/>
      <c r="B344" s="65">
        <f>IF(A344="","",IFERROR(INDEX(Bestand!$B$14:$B$213,MATCH(A344,Bestand!$A$14:$A$213,0)),"ID unbekannt"))</f>
        <v/>
      </c>
      <c r="C344" s="63" t="n"/>
      <c r="D344" s="62" t="n"/>
      <c r="E344" s="60" t="n"/>
      <c r="F344" s="60" t="n"/>
      <c r="G344" s="61" t="n"/>
      <c r="H344" s="69">
        <f>IF(OR(A344="",C344=""),"",COUNTIFS($A$7:$A$1006,A344,$C$7:$C$1006,"&lt;"&amp;C344)+1)</f>
        <v/>
      </c>
      <c r="I344" s="67">
        <f>IF(H344="","",IF(H344=1,"",C344-_xlfn.MAXIFS($C$7:$C$1006,$A$7:$A$1006,A344,$C$7:$C$1006,"&lt;"&amp;C344)))</f>
        <v/>
      </c>
      <c r="J344" s="68">
        <f>IF(I344="","",I344/TpM)</f>
        <v/>
      </c>
      <c r="K344" s="69">
        <f>IF(H344="","",COUNTIFS($A$7:$A$1006,A344,$C$7:$C$1006,"&gt;0")-H344)</f>
        <v/>
      </c>
      <c r="L344" s="69">
        <f>IF(H344="","",A344&amp;"|"&amp;H344)</f>
        <v/>
      </c>
      <c r="M344" s="69">
        <f>IF(A344="","",IFERROR(INDEX(Bestand!$AC$14:$AC$213,MATCH(A344,Bestand!$A$14:$A$213,0)),0))</f>
        <v/>
      </c>
      <c r="N344" s="69">
        <f>IF(OR(H344="",M344&lt;&gt;1),"",C344+ROW()/100000)</f>
        <v/>
      </c>
    </row>
    <row r="345" ht="20" customHeight="1">
      <c r="A345" s="60" t="n"/>
      <c r="B345" s="65">
        <f>IF(A345="","",IFERROR(INDEX(Bestand!$B$14:$B$213,MATCH(A345,Bestand!$A$14:$A$213,0)),"ID unbekannt"))</f>
        <v/>
      </c>
      <c r="C345" s="63" t="n"/>
      <c r="D345" s="62" t="n"/>
      <c r="E345" s="60" t="n"/>
      <c r="F345" s="60" t="n"/>
      <c r="G345" s="61" t="n"/>
      <c r="H345" s="69">
        <f>IF(OR(A345="",C345=""),"",COUNTIFS($A$7:$A$1006,A345,$C$7:$C$1006,"&lt;"&amp;C345)+1)</f>
        <v/>
      </c>
      <c r="I345" s="67">
        <f>IF(H345="","",IF(H345=1,"",C345-_xlfn.MAXIFS($C$7:$C$1006,$A$7:$A$1006,A345,$C$7:$C$1006,"&lt;"&amp;C345)))</f>
        <v/>
      </c>
      <c r="J345" s="68">
        <f>IF(I345="","",I345/TpM)</f>
        <v/>
      </c>
      <c r="K345" s="69">
        <f>IF(H345="","",COUNTIFS($A$7:$A$1006,A345,$C$7:$C$1006,"&gt;0")-H345)</f>
        <v/>
      </c>
      <c r="L345" s="69">
        <f>IF(H345="","",A345&amp;"|"&amp;H345)</f>
        <v/>
      </c>
      <c r="M345" s="69">
        <f>IF(A345="","",IFERROR(INDEX(Bestand!$AC$14:$AC$213,MATCH(A345,Bestand!$A$14:$A$213,0)),0))</f>
        <v/>
      </c>
      <c r="N345" s="69">
        <f>IF(OR(H345="",M345&lt;&gt;1),"",C345+ROW()/100000)</f>
        <v/>
      </c>
    </row>
    <row r="346" ht="20" customHeight="1">
      <c r="A346" s="60" t="n"/>
      <c r="B346" s="65">
        <f>IF(A346="","",IFERROR(INDEX(Bestand!$B$14:$B$213,MATCH(A346,Bestand!$A$14:$A$213,0)),"ID unbekannt"))</f>
        <v/>
      </c>
      <c r="C346" s="63" t="n"/>
      <c r="D346" s="62" t="n"/>
      <c r="E346" s="60" t="n"/>
      <c r="F346" s="60" t="n"/>
      <c r="G346" s="61" t="n"/>
      <c r="H346" s="69">
        <f>IF(OR(A346="",C346=""),"",COUNTIFS($A$7:$A$1006,A346,$C$7:$C$1006,"&lt;"&amp;C346)+1)</f>
        <v/>
      </c>
      <c r="I346" s="67">
        <f>IF(H346="","",IF(H346=1,"",C346-_xlfn.MAXIFS($C$7:$C$1006,$A$7:$A$1006,A346,$C$7:$C$1006,"&lt;"&amp;C346)))</f>
        <v/>
      </c>
      <c r="J346" s="68">
        <f>IF(I346="","",I346/TpM)</f>
        <v/>
      </c>
      <c r="K346" s="69">
        <f>IF(H346="","",COUNTIFS($A$7:$A$1006,A346,$C$7:$C$1006,"&gt;0")-H346)</f>
        <v/>
      </c>
      <c r="L346" s="69">
        <f>IF(H346="","",A346&amp;"|"&amp;H346)</f>
        <v/>
      </c>
      <c r="M346" s="69">
        <f>IF(A346="","",IFERROR(INDEX(Bestand!$AC$14:$AC$213,MATCH(A346,Bestand!$A$14:$A$213,0)),0))</f>
        <v/>
      </c>
      <c r="N346" s="69">
        <f>IF(OR(H346="",M346&lt;&gt;1),"",C346+ROW()/100000)</f>
        <v/>
      </c>
    </row>
    <row r="347" ht="20" customHeight="1">
      <c r="A347" s="60" t="n"/>
      <c r="B347" s="65">
        <f>IF(A347="","",IFERROR(INDEX(Bestand!$B$14:$B$213,MATCH(A347,Bestand!$A$14:$A$213,0)),"ID unbekannt"))</f>
        <v/>
      </c>
      <c r="C347" s="63" t="n"/>
      <c r="D347" s="62" t="n"/>
      <c r="E347" s="60" t="n"/>
      <c r="F347" s="60" t="n"/>
      <c r="G347" s="61" t="n"/>
      <c r="H347" s="69">
        <f>IF(OR(A347="",C347=""),"",COUNTIFS($A$7:$A$1006,A347,$C$7:$C$1006,"&lt;"&amp;C347)+1)</f>
        <v/>
      </c>
      <c r="I347" s="67">
        <f>IF(H347="","",IF(H347=1,"",C347-_xlfn.MAXIFS($C$7:$C$1006,$A$7:$A$1006,A347,$C$7:$C$1006,"&lt;"&amp;C347)))</f>
        <v/>
      </c>
      <c r="J347" s="68">
        <f>IF(I347="","",I347/TpM)</f>
        <v/>
      </c>
      <c r="K347" s="69">
        <f>IF(H347="","",COUNTIFS($A$7:$A$1006,A347,$C$7:$C$1006,"&gt;0")-H347)</f>
        <v/>
      </c>
      <c r="L347" s="69">
        <f>IF(H347="","",A347&amp;"|"&amp;H347)</f>
        <v/>
      </c>
      <c r="M347" s="69">
        <f>IF(A347="","",IFERROR(INDEX(Bestand!$AC$14:$AC$213,MATCH(A347,Bestand!$A$14:$A$213,0)),0))</f>
        <v/>
      </c>
      <c r="N347" s="69">
        <f>IF(OR(H347="",M347&lt;&gt;1),"",C347+ROW()/100000)</f>
        <v/>
      </c>
    </row>
    <row r="348" ht="20" customHeight="1">
      <c r="A348" s="60" t="n"/>
      <c r="B348" s="65">
        <f>IF(A348="","",IFERROR(INDEX(Bestand!$B$14:$B$213,MATCH(A348,Bestand!$A$14:$A$213,0)),"ID unbekannt"))</f>
        <v/>
      </c>
      <c r="C348" s="63" t="n"/>
      <c r="D348" s="62" t="n"/>
      <c r="E348" s="60" t="n"/>
      <c r="F348" s="60" t="n"/>
      <c r="G348" s="61" t="n"/>
      <c r="H348" s="69">
        <f>IF(OR(A348="",C348=""),"",COUNTIFS($A$7:$A$1006,A348,$C$7:$C$1006,"&lt;"&amp;C348)+1)</f>
        <v/>
      </c>
      <c r="I348" s="67">
        <f>IF(H348="","",IF(H348=1,"",C348-_xlfn.MAXIFS($C$7:$C$1006,$A$7:$A$1006,A348,$C$7:$C$1006,"&lt;"&amp;C348)))</f>
        <v/>
      </c>
      <c r="J348" s="68">
        <f>IF(I348="","",I348/TpM)</f>
        <v/>
      </c>
      <c r="K348" s="69">
        <f>IF(H348="","",COUNTIFS($A$7:$A$1006,A348,$C$7:$C$1006,"&gt;0")-H348)</f>
        <v/>
      </c>
      <c r="L348" s="69">
        <f>IF(H348="","",A348&amp;"|"&amp;H348)</f>
        <v/>
      </c>
      <c r="M348" s="69">
        <f>IF(A348="","",IFERROR(INDEX(Bestand!$AC$14:$AC$213,MATCH(A348,Bestand!$A$14:$A$213,0)),0))</f>
        <v/>
      </c>
      <c r="N348" s="69">
        <f>IF(OR(H348="",M348&lt;&gt;1),"",C348+ROW()/100000)</f>
        <v/>
      </c>
    </row>
    <row r="349" ht="20" customHeight="1">
      <c r="A349" s="60" t="n"/>
      <c r="B349" s="65">
        <f>IF(A349="","",IFERROR(INDEX(Bestand!$B$14:$B$213,MATCH(A349,Bestand!$A$14:$A$213,0)),"ID unbekannt"))</f>
        <v/>
      </c>
      <c r="C349" s="63" t="n"/>
      <c r="D349" s="62" t="n"/>
      <c r="E349" s="60" t="n"/>
      <c r="F349" s="60" t="n"/>
      <c r="G349" s="61" t="n"/>
      <c r="H349" s="69">
        <f>IF(OR(A349="",C349=""),"",COUNTIFS($A$7:$A$1006,A349,$C$7:$C$1006,"&lt;"&amp;C349)+1)</f>
        <v/>
      </c>
      <c r="I349" s="67">
        <f>IF(H349="","",IF(H349=1,"",C349-_xlfn.MAXIFS($C$7:$C$1006,$A$7:$A$1006,A349,$C$7:$C$1006,"&lt;"&amp;C349)))</f>
        <v/>
      </c>
      <c r="J349" s="68">
        <f>IF(I349="","",I349/TpM)</f>
        <v/>
      </c>
      <c r="K349" s="69">
        <f>IF(H349="","",COUNTIFS($A$7:$A$1006,A349,$C$7:$C$1006,"&gt;0")-H349)</f>
        <v/>
      </c>
      <c r="L349" s="69">
        <f>IF(H349="","",A349&amp;"|"&amp;H349)</f>
        <v/>
      </c>
      <c r="M349" s="69">
        <f>IF(A349="","",IFERROR(INDEX(Bestand!$AC$14:$AC$213,MATCH(A349,Bestand!$A$14:$A$213,0)),0))</f>
        <v/>
      </c>
      <c r="N349" s="69">
        <f>IF(OR(H349="",M349&lt;&gt;1),"",C349+ROW()/100000)</f>
        <v/>
      </c>
    </row>
    <row r="350" ht="20" customHeight="1">
      <c r="A350" s="60" t="n"/>
      <c r="B350" s="65">
        <f>IF(A350="","",IFERROR(INDEX(Bestand!$B$14:$B$213,MATCH(A350,Bestand!$A$14:$A$213,0)),"ID unbekannt"))</f>
        <v/>
      </c>
      <c r="C350" s="63" t="n"/>
      <c r="D350" s="62" t="n"/>
      <c r="E350" s="60" t="n"/>
      <c r="F350" s="60" t="n"/>
      <c r="G350" s="61" t="n"/>
      <c r="H350" s="69">
        <f>IF(OR(A350="",C350=""),"",COUNTIFS($A$7:$A$1006,A350,$C$7:$C$1006,"&lt;"&amp;C350)+1)</f>
        <v/>
      </c>
      <c r="I350" s="67">
        <f>IF(H350="","",IF(H350=1,"",C350-_xlfn.MAXIFS($C$7:$C$1006,$A$7:$A$1006,A350,$C$7:$C$1006,"&lt;"&amp;C350)))</f>
        <v/>
      </c>
      <c r="J350" s="68">
        <f>IF(I350="","",I350/TpM)</f>
        <v/>
      </c>
      <c r="K350" s="69">
        <f>IF(H350="","",COUNTIFS($A$7:$A$1006,A350,$C$7:$C$1006,"&gt;0")-H350)</f>
        <v/>
      </c>
      <c r="L350" s="69">
        <f>IF(H350="","",A350&amp;"|"&amp;H350)</f>
        <v/>
      </c>
      <c r="M350" s="69">
        <f>IF(A350="","",IFERROR(INDEX(Bestand!$AC$14:$AC$213,MATCH(A350,Bestand!$A$14:$A$213,0)),0))</f>
        <v/>
      </c>
      <c r="N350" s="69">
        <f>IF(OR(H350="",M350&lt;&gt;1),"",C350+ROW()/100000)</f>
        <v/>
      </c>
    </row>
    <row r="351" ht="20" customHeight="1">
      <c r="A351" s="60" t="n"/>
      <c r="B351" s="65">
        <f>IF(A351="","",IFERROR(INDEX(Bestand!$B$14:$B$213,MATCH(A351,Bestand!$A$14:$A$213,0)),"ID unbekannt"))</f>
        <v/>
      </c>
      <c r="C351" s="63" t="n"/>
      <c r="D351" s="62" t="n"/>
      <c r="E351" s="60" t="n"/>
      <c r="F351" s="60" t="n"/>
      <c r="G351" s="61" t="n"/>
      <c r="H351" s="69">
        <f>IF(OR(A351="",C351=""),"",COUNTIFS($A$7:$A$1006,A351,$C$7:$C$1006,"&lt;"&amp;C351)+1)</f>
        <v/>
      </c>
      <c r="I351" s="67">
        <f>IF(H351="","",IF(H351=1,"",C351-_xlfn.MAXIFS($C$7:$C$1006,$A$7:$A$1006,A351,$C$7:$C$1006,"&lt;"&amp;C351)))</f>
        <v/>
      </c>
      <c r="J351" s="68">
        <f>IF(I351="","",I351/TpM)</f>
        <v/>
      </c>
      <c r="K351" s="69">
        <f>IF(H351="","",COUNTIFS($A$7:$A$1006,A351,$C$7:$C$1006,"&gt;0")-H351)</f>
        <v/>
      </c>
      <c r="L351" s="69">
        <f>IF(H351="","",A351&amp;"|"&amp;H351)</f>
        <v/>
      </c>
      <c r="M351" s="69">
        <f>IF(A351="","",IFERROR(INDEX(Bestand!$AC$14:$AC$213,MATCH(A351,Bestand!$A$14:$A$213,0)),0))</f>
        <v/>
      </c>
      <c r="N351" s="69">
        <f>IF(OR(H351="",M351&lt;&gt;1),"",C351+ROW()/100000)</f>
        <v/>
      </c>
    </row>
    <row r="352" ht="20" customHeight="1">
      <c r="A352" s="60" t="n"/>
      <c r="B352" s="65">
        <f>IF(A352="","",IFERROR(INDEX(Bestand!$B$14:$B$213,MATCH(A352,Bestand!$A$14:$A$213,0)),"ID unbekannt"))</f>
        <v/>
      </c>
      <c r="C352" s="63" t="n"/>
      <c r="D352" s="62" t="n"/>
      <c r="E352" s="60" t="n"/>
      <c r="F352" s="60" t="n"/>
      <c r="G352" s="61" t="n"/>
      <c r="H352" s="69">
        <f>IF(OR(A352="",C352=""),"",COUNTIFS($A$7:$A$1006,A352,$C$7:$C$1006,"&lt;"&amp;C352)+1)</f>
        <v/>
      </c>
      <c r="I352" s="67">
        <f>IF(H352="","",IF(H352=1,"",C352-_xlfn.MAXIFS($C$7:$C$1006,$A$7:$A$1006,A352,$C$7:$C$1006,"&lt;"&amp;C352)))</f>
        <v/>
      </c>
      <c r="J352" s="68">
        <f>IF(I352="","",I352/TpM)</f>
        <v/>
      </c>
      <c r="K352" s="69">
        <f>IF(H352="","",COUNTIFS($A$7:$A$1006,A352,$C$7:$C$1006,"&gt;0")-H352)</f>
        <v/>
      </c>
      <c r="L352" s="69">
        <f>IF(H352="","",A352&amp;"|"&amp;H352)</f>
        <v/>
      </c>
      <c r="M352" s="69">
        <f>IF(A352="","",IFERROR(INDEX(Bestand!$AC$14:$AC$213,MATCH(A352,Bestand!$A$14:$A$213,0)),0))</f>
        <v/>
      </c>
      <c r="N352" s="69">
        <f>IF(OR(H352="",M352&lt;&gt;1),"",C352+ROW()/100000)</f>
        <v/>
      </c>
    </row>
    <row r="353" ht="20" customHeight="1">
      <c r="A353" s="60" t="n"/>
      <c r="B353" s="65">
        <f>IF(A353="","",IFERROR(INDEX(Bestand!$B$14:$B$213,MATCH(A353,Bestand!$A$14:$A$213,0)),"ID unbekannt"))</f>
        <v/>
      </c>
      <c r="C353" s="63" t="n"/>
      <c r="D353" s="62" t="n"/>
      <c r="E353" s="60" t="n"/>
      <c r="F353" s="60" t="n"/>
      <c r="G353" s="61" t="n"/>
      <c r="H353" s="69">
        <f>IF(OR(A353="",C353=""),"",COUNTIFS($A$7:$A$1006,A353,$C$7:$C$1006,"&lt;"&amp;C353)+1)</f>
        <v/>
      </c>
      <c r="I353" s="67">
        <f>IF(H353="","",IF(H353=1,"",C353-_xlfn.MAXIFS($C$7:$C$1006,$A$7:$A$1006,A353,$C$7:$C$1006,"&lt;"&amp;C353)))</f>
        <v/>
      </c>
      <c r="J353" s="68">
        <f>IF(I353="","",I353/TpM)</f>
        <v/>
      </c>
      <c r="K353" s="69">
        <f>IF(H353="","",COUNTIFS($A$7:$A$1006,A353,$C$7:$C$1006,"&gt;0")-H353)</f>
        <v/>
      </c>
      <c r="L353" s="69">
        <f>IF(H353="","",A353&amp;"|"&amp;H353)</f>
        <v/>
      </c>
      <c r="M353" s="69">
        <f>IF(A353="","",IFERROR(INDEX(Bestand!$AC$14:$AC$213,MATCH(A353,Bestand!$A$14:$A$213,0)),0))</f>
        <v/>
      </c>
      <c r="N353" s="69">
        <f>IF(OR(H353="",M353&lt;&gt;1),"",C353+ROW()/100000)</f>
        <v/>
      </c>
    </row>
    <row r="354" ht="20" customHeight="1">
      <c r="A354" s="60" t="n"/>
      <c r="B354" s="65">
        <f>IF(A354="","",IFERROR(INDEX(Bestand!$B$14:$B$213,MATCH(A354,Bestand!$A$14:$A$213,0)),"ID unbekannt"))</f>
        <v/>
      </c>
      <c r="C354" s="63" t="n"/>
      <c r="D354" s="62" t="n"/>
      <c r="E354" s="60" t="n"/>
      <c r="F354" s="60" t="n"/>
      <c r="G354" s="61" t="n"/>
      <c r="H354" s="69">
        <f>IF(OR(A354="",C354=""),"",COUNTIFS($A$7:$A$1006,A354,$C$7:$C$1006,"&lt;"&amp;C354)+1)</f>
        <v/>
      </c>
      <c r="I354" s="67">
        <f>IF(H354="","",IF(H354=1,"",C354-_xlfn.MAXIFS($C$7:$C$1006,$A$7:$A$1006,A354,$C$7:$C$1006,"&lt;"&amp;C354)))</f>
        <v/>
      </c>
      <c r="J354" s="68">
        <f>IF(I354="","",I354/TpM)</f>
        <v/>
      </c>
      <c r="K354" s="69">
        <f>IF(H354="","",COUNTIFS($A$7:$A$1006,A354,$C$7:$C$1006,"&gt;0")-H354)</f>
        <v/>
      </c>
      <c r="L354" s="69">
        <f>IF(H354="","",A354&amp;"|"&amp;H354)</f>
        <v/>
      </c>
      <c r="M354" s="69">
        <f>IF(A354="","",IFERROR(INDEX(Bestand!$AC$14:$AC$213,MATCH(A354,Bestand!$A$14:$A$213,0)),0))</f>
        <v/>
      </c>
      <c r="N354" s="69">
        <f>IF(OR(H354="",M354&lt;&gt;1),"",C354+ROW()/100000)</f>
        <v/>
      </c>
    </row>
    <row r="355" ht="20" customHeight="1">
      <c r="A355" s="60" t="n"/>
      <c r="B355" s="65">
        <f>IF(A355="","",IFERROR(INDEX(Bestand!$B$14:$B$213,MATCH(A355,Bestand!$A$14:$A$213,0)),"ID unbekannt"))</f>
        <v/>
      </c>
      <c r="C355" s="63" t="n"/>
      <c r="D355" s="62" t="n"/>
      <c r="E355" s="60" t="n"/>
      <c r="F355" s="60" t="n"/>
      <c r="G355" s="61" t="n"/>
      <c r="H355" s="69">
        <f>IF(OR(A355="",C355=""),"",COUNTIFS($A$7:$A$1006,A355,$C$7:$C$1006,"&lt;"&amp;C355)+1)</f>
        <v/>
      </c>
      <c r="I355" s="67">
        <f>IF(H355="","",IF(H355=1,"",C355-_xlfn.MAXIFS($C$7:$C$1006,$A$7:$A$1006,A355,$C$7:$C$1006,"&lt;"&amp;C355)))</f>
        <v/>
      </c>
      <c r="J355" s="68">
        <f>IF(I355="","",I355/TpM)</f>
        <v/>
      </c>
      <c r="K355" s="69">
        <f>IF(H355="","",COUNTIFS($A$7:$A$1006,A355,$C$7:$C$1006,"&gt;0")-H355)</f>
        <v/>
      </c>
      <c r="L355" s="69">
        <f>IF(H355="","",A355&amp;"|"&amp;H355)</f>
        <v/>
      </c>
      <c r="M355" s="69">
        <f>IF(A355="","",IFERROR(INDEX(Bestand!$AC$14:$AC$213,MATCH(A355,Bestand!$A$14:$A$213,0)),0))</f>
        <v/>
      </c>
      <c r="N355" s="69">
        <f>IF(OR(H355="",M355&lt;&gt;1),"",C355+ROW()/100000)</f>
        <v/>
      </c>
    </row>
    <row r="356" ht="20" customHeight="1">
      <c r="A356" s="60" t="n"/>
      <c r="B356" s="65">
        <f>IF(A356="","",IFERROR(INDEX(Bestand!$B$14:$B$213,MATCH(A356,Bestand!$A$14:$A$213,0)),"ID unbekannt"))</f>
        <v/>
      </c>
      <c r="C356" s="63" t="n"/>
      <c r="D356" s="62" t="n"/>
      <c r="E356" s="60" t="n"/>
      <c r="F356" s="60" t="n"/>
      <c r="G356" s="61" t="n"/>
      <c r="H356" s="69">
        <f>IF(OR(A356="",C356=""),"",COUNTIFS($A$7:$A$1006,A356,$C$7:$C$1006,"&lt;"&amp;C356)+1)</f>
        <v/>
      </c>
      <c r="I356" s="67">
        <f>IF(H356="","",IF(H356=1,"",C356-_xlfn.MAXIFS($C$7:$C$1006,$A$7:$A$1006,A356,$C$7:$C$1006,"&lt;"&amp;C356)))</f>
        <v/>
      </c>
      <c r="J356" s="68">
        <f>IF(I356="","",I356/TpM)</f>
        <v/>
      </c>
      <c r="K356" s="69">
        <f>IF(H356="","",COUNTIFS($A$7:$A$1006,A356,$C$7:$C$1006,"&gt;0")-H356)</f>
        <v/>
      </c>
      <c r="L356" s="69">
        <f>IF(H356="","",A356&amp;"|"&amp;H356)</f>
        <v/>
      </c>
      <c r="M356" s="69">
        <f>IF(A356="","",IFERROR(INDEX(Bestand!$AC$14:$AC$213,MATCH(A356,Bestand!$A$14:$A$213,0)),0))</f>
        <v/>
      </c>
      <c r="N356" s="69">
        <f>IF(OR(H356="",M356&lt;&gt;1),"",C356+ROW()/100000)</f>
        <v/>
      </c>
    </row>
    <row r="357" ht="20" customHeight="1">
      <c r="A357" s="60" t="n"/>
      <c r="B357" s="65">
        <f>IF(A357="","",IFERROR(INDEX(Bestand!$B$14:$B$213,MATCH(A357,Bestand!$A$14:$A$213,0)),"ID unbekannt"))</f>
        <v/>
      </c>
      <c r="C357" s="63" t="n"/>
      <c r="D357" s="62" t="n"/>
      <c r="E357" s="60" t="n"/>
      <c r="F357" s="60" t="n"/>
      <c r="G357" s="61" t="n"/>
      <c r="H357" s="69">
        <f>IF(OR(A357="",C357=""),"",COUNTIFS($A$7:$A$1006,A357,$C$7:$C$1006,"&lt;"&amp;C357)+1)</f>
        <v/>
      </c>
      <c r="I357" s="67">
        <f>IF(H357="","",IF(H357=1,"",C357-_xlfn.MAXIFS($C$7:$C$1006,$A$7:$A$1006,A357,$C$7:$C$1006,"&lt;"&amp;C357)))</f>
        <v/>
      </c>
      <c r="J357" s="68">
        <f>IF(I357="","",I357/TpM)</f>
        <v/>
      </c>
      <c r="K357" s="69">
        <f>IF(H357="","",COUNTIFS($A$7:$A$1006,A357,$C$7:$C$1006,"&gt;0")-H357)</f>
        <v/>
      </c>
      <c r="L357" s="69">
        <f>IF(H357="","",A357&amp;"|"&amp;H357)</f>
        <v/>
      </c>
      <c r="M357" s="69">
        <f>IF(A357="","",IFERROR(INDEX(Bestand!$AC$14:$AC$213,MATCH(A357,Bestand!$A$14:$A$213,0)),0))</f>
        <v/>
      </c>
      <c r="N357" s="69">
        <f>IF(OR(H357="",M357&lt;&gt;1),"",C357+ROW()/100000)</f>
        <v/>
      </c>
    </row>
    <row r="358" ht="20" customHeight="1">
      <c r="A358" s="60" t="n"/>
      <c r="B358" s="65">
        <f>IF(A358="","",IFERROR(INDEX(Bestand!$B$14:$B$213,MATCH(A358,Bestand!$A$14:$A$213,0)),"ID unbekannt"))</f>
        <v/>
      </c>
      <c r="C358" s="63" t="n"/>
      <c r="D358" s="62" t="n"/>
      <c r="E358" s="60" t="n"/>
      <c r="F358" s="60" t="n"/>
      <c r="G358" s="61" t="n"/>
      <c r="H358" s="69">
        <f>IF(OR(A358="",C358=""),"",COUNTIFS($A$7:$A$1006,A358,$C$7:$C$1006,"&lt;"&amp;C358)+1)</f>
        <v/>
      </c>
      <c r="I358" s="67">
        <f>IF(H358="","",IF(H358=1,"",C358-_xlfn.MAXIFS($C$7:$C$1006,$A$7:$A$1006,A358,$C$7:$C$1006,"&lt;"&amp;C358)))</f>
        <v/>
      </c>
      <c r="J358" s="68">
        <f>IF(I358="","",I358/TpM)</f>
        <v/>
      </c>
      <c r="K358" s="69">
        <f>IF(H358="","",COUNTIFS($A$7:$A$1006,A358,$C$7:$C$1006,"&gt;0")-H358)</f>
        <v/>
      </c>
      <c r="L358" s="69">
        <f>IF(H358="","",A358&amp;"|"&amp;H358)</f>
        <v/>
      </c>
      <c r="M358" s="69">
        <f>IF(A358="","",IFERROR(INDEX(Bestand!$AC$14:$AC$213,MATCH(A358,Bestand!$A$14:$A$213,0)),0))</f>
        <v/>
      </c>
      <c r="N358" s="69">
        <f>IF(OR(H358="",M358&lt;&gt;1),"",C358+ROW()/100000)</f>
        <v/>
      </c>
    </row>
    <row r="359" ht="20" customHeight="1">
      <c r="A359" s="60" t="n"/>
      <c r="B359" s="65">
        <f>IF(A359="","",IFERROR(INDEX(Bestand!$B$14:$B$213,MATCH(A359,Bestand!$A$14:$A$213,0)),"ID unbekannt"))</f>
        <v/>
      </c>
      <c r="C359" s="63" t="n"/>
      <c r="D359" s="62" t="n"/>
      <c r="E359" s="60" t="n"/>
      <c r="F359" s="60" t="n"/>
      <c r="G359" s="61" t="n"/>
      <c r="H359" s="69">
        <f>IF(OR(A359="",C359=""),"",COUNTIFS($A$7:$A$1006,A359,$C$7:$C$1006,"&lt;"&amp;C359)+1)</f>
        <v/>
      </c>
      <c r="I359" s="67">
        <f>IF(H359="","",IF(H359=1,"",C359-_xlfn.MAXIFS($C$7:$C$1006,$A$7:$A$1006,A359,$C$7:$C$1006,"&lt;"&amp;C359)))</f>
        <v/>
      </c>
      <c r="J359" s="68">
        <f>IF(I359="","",I359/TpM)</f>
        <v/>
      </c>
      <c r="K359" s="69">
        <f>IF(H359="","",COUNTIFS($A$7:$A$1006,A359,$C$7:$C$1006,"&gt;0")-H359)</f>
        <v/>
      </c>
      <c r="L359" s="69">
        <f>IF(H359="","",A359&amp;"|"&amp;H359)</f>
        <v/>
      </c>
      <c r="M359" s="69">
        <f>IF(A359="","",IFERROR(INDEX(Bestand!$AC$14:$AC$213,MATCH(A359,Bestand!$A$14:$A$213,0)),0))</f>
        <v/>
      </c>
      <c r="N359" s="69">
        <f>IF(OR(H359="",M359&lt;&gt;1),"",C359+ROW()/100000)</f>
        <v/>
      </c>
    </row>
    <row r="360" ht="20" customHeight="1">
      <c r="A360" s="60" t="n"/>
      <c r="B360" s="65">
        <f>IF(A360="","",IFERROR(INDEX(Bestand!$B$14:$B$213,MATCH(A360,Bestand!$A$14:$A$213,0)),"ID unbekannt"))</f>
        <v/>
      </c>
      <c r="C360" s="63" t="n"/>
      <c r="D360" s="62" t="n"/>
      <c r="E360" s="60" t="n"/>
      <c r="F360" s="60" t="n"/>
      <c r="G360" s="61" t="n"/>
      <c r="H360" s="69">
        <f>IF(OR(A360="",C360=""),"",COUNTIFS($A$7:$A$1006,A360,$C$7:$C$1006,"&lt;"&amp;C360)+1)</f>
        <v/>
      </c>
      <c r="I360" s="67">
        <f>IF(H360="","",IF(H360=1,"",C360-_xlfn.MAXIFS($C$7:$C$1006,$A$7:$A$1006,A360,$C$7:$C$1006,"&lt;"&amp;C360)))</f>
        <v/>
      </c>
      <c r="J360" s="68">
        <f>IF(I360="","",I360/TpM)</f>
        <v/>
      </c>
      <c r="K360" s="69">
        <f>IF(H360="","",COUNTIFS($A$7:$A$1006,A360,$C$7:$C$1006,"&gt;0")-H360)</f>
        <v/>
      </c>
      <c r="L360" s="69">
        <f>IF(H360="","",A360&amp;"|"&amp;H360)</f>
        <v/>
      </c>
      <c r="M360" s="69">
        <f>IF(A360="","",IFERROR(INDEX(Bestand!$AC$14:$AC$213,MATCH(A360,Bestand!$A$14:$A$213,0)),0))</f>
        <v/>
      </c>
      <c r="N360" s="69">
        <f>IF(OR(H360="",M360&lt;&gt;1),"",C360+ROW()/100000)</f>
        <v/>
      </c>
    </row>
    <row r="361" ht="20" customHeight="1">
      <c r="A361" s="60" t="n"/>
      <c r="B361" s="65">
        <f>IF(A361="","",IFERROR(INDEX(Bestand!$B$14:$B$213,MATCH(A361,Bestand!$A$14:$A$213,0)),"ID unbekannt"))</f>
        <v/>
      </c>
      <c r="C361" s="63" t="n"/>
      <c r="D361" s="62" t="n"/>
      <c r="E361" s="60" t="n"/>
      <c r="F361" s="60" t="n"/>
      <c r="G361" s="61" t="n"/>
      <c r="H361" s="69">
        <f>IF(OR(A361="",C361=""),"",COUNTIFS($A$7:$A$1006,A361,$C$7:$C$1006,"&lt;"&amp;C361)+1)</f>
        <v/>
      </c>
      <c r="I361" s="67">
        <f>IF(H361="","",IF(H361=1,"",C361-_xlfn.MAXIFS($C$7:$C$1006,$A$7:$A$1006,A361,$C$7:$C$1006,"&lt;"&amp;C361)))</f>
        <v/>
      </c>
      <c r="J361" s="68">
        <f>IF(I361="","",I361/TpM)</f>
        <v/>
      </c>
      <c r="K361" s="69">
        <f>IF(H361="","",COUNTIFS($A$7:$A$1006,A361,$C$7:$C$1006,"&gt;0")-H361)</f>
        <v/>
      </c>
      <c r="L361" s="69">
        <f>IF(H361="","",A361&amp;"|"&amp;H361)</f>
        <v/>
      </c>
      <c r="M361" s="69">
        <f>IF(A361="","",IFERROR(INDEX(Bestand!$AC$14:$AC$213,MATCH(A361,Bestand!$A$14:$A$213,0)),0))</f>
        <v/>
      </c>
      <c r="N361" s="69">
        <f>IF(OR(H361="",M361&lt;&gt;1),"",C361+ROW()/100000)</f>
        <v/>
      </c>
    </row>
    <row r="362" ht="20" customHeight="1">
      <c r="A362" s="60" t="n"/>
      <c r="B362" s="65">
        <f>IF(A362="","",IFERROR(INDEX(Bestand!$B$14:$B$213,MATCH(A362,Bestand!$A$14:$A$213,0)),"ID unbekannt"))</f>
        <v/>
      </c>
      <c r="C362" s="63" t="n"/>
      <c r="D362" s="62" t="n"/>
      <c r="E362" s="60" t="n"/>
      <c r="F362" s="60" t="n"/>
      <c r="G362" s="61" t="n"/>
      <c r="H362" s="69">
        <f>IF(OR(A362="",C362=""),"",COUNTIFS($A$7:$A$1006,A362,$C$7:$C$1006,"&lt;"&amp;C362)+1)</f>
        <v/>
      </c>
      <c r="I362" s="67">
        <f>IF(H362="","",IF(H362=1,"",C362-_xlfn.MAXIFS($C$7:$C$1006,$A$7:$A$1006,A362,$C$7:$C$1006,"&lt;"&amp;C362)))</f>
        <v/>
      </c>
      <c r="J362" s="68">
        <f>IF(I362="","",I362/TpM)</f>
        <v/>
      </c>
      <c r="K362" s="69">
        <f>IF(H362="","",COUNTIFS($A$7:$A$1006,A362,$C$7:$C$1006,"&gt;0")-H362)</f>
        <v/>
      </c>
      <c r="L362" s="69">
        <f>IF(H362="","",A362&amp;"|"&amp;H362)</f>
        <v/>
      </c>
      <c r="M362" s="69">
        <f>IF(A362="","",IFERROR(INDEX(Bestand!$AC$14:$AC$213,MATCH(A362,Bestand!$A$14:$A$213,0)),0))</f>
        <v/>
      </c>
      <c r="N362" s="69">
        <f>IF(OR(H362="",M362&lt;&gt;1),"",C362+ROW()/100000)</f>
        <v/>
      </c>
    </row>
    <row r="363" ht="20" customHeight="1">
      <c r="A363" s="60" t="n"/>
      <c r="B363" s="65">
        <f>IF(A363="","",IFERROR(INDEX(Bestand!$B$14:$B$213,MATCH(A363,Bestand!$A$14:$A$213,0)),"ID unbekannt"))</f>
        <v/>
      </c>
      <c r="C363" s="63" t="n"/>
      <c r="D363" s="62" t="n"/>
      <c r="E363" s="60" t="n"/>
      <c r="F363" s="60" t="n"/>
      <c r="G363" s="61" t="n"/>
      <c r="H363" s="69">
        <f>IF(OR(A363="",C363=""),"",COUNTIFS($A$7:$A$1006,A363,$C$7:$C$1006,"&lt;"&amp;C363)+1)</f>
        <v/>
      </c>
      <c r="I363" s="67">
        <f>IF(H363="","",IF(H363=1,"",C363-_xlfn.MAXIFS($C$7:$C$1006,$A$7:$A$1006,A363,$C$7:$C$1006,"&lt;"&amp;C363)))</f>
        <v/>
      </c>
      <c r="J363" s="68">
        <f>IF(I363="","",I363/TpM)</f>
        <v/>
      </c>
      <c r="K363" s="69">
        <f>IF(H363="","",COUNTIFS($A$7:$A$1006,A363,$C$7:$C$1006,"&gt;0")-H363)</f>
        <v/>
      </c>
      <c r="L363" s="69">
        <f>IF(H363="","",A363&amp;"|"&amp;H363)</f>
        <v/>
      </c>
      <c r="M363" s="69">
        <f>IF(A363="","",IFERROR(INDEX(Bestand!$AC$14:$AC$213,MATCH(A363,Bestand!$A$14:$A$213,0)),0))</f>
        <v/>
      </c>
      <c r="N363" s="69">
        <f>IF(OR(H363="",M363&lt;&gt;1),"",C363+ROW()/100000)</f>
        <v/>
      </c>
    </row>
    <row r="364" ht="20" customHeight="1">
      <c r="A364" s="60" t="n"/>
      <c r="B364" s="65">
        <f>IF(A364="","",IFERROR(INDEX(Bestand!$B$14:$B$213,MATCH(A364,Bestand!$A$14:$A$213,0)),"ID unbekannt"))</f>
        <v/>
      </c>
      <c r="C364" s="63" t="n"/>
      <c r="D364" s="62" t="n"/>
      <c r="E364" s="60" t="n"/>
      <c r="F364" s="60" t="n"/>
      <c r="G364" s="61" t="n"/>
      <c r="H364" s="69">
        <f>IF(OR(A364="",C364=""),"",COUNTIFS($A$7:$A$1006,A364,$C$7:$C$1006,"&lt;"&amp;C364)+1)</f>
        <v/>
      </c>
      <c r="I364" s="67">
        <f>IF(H364="","",IF(H364=1,"",C364-_xlfn.MAXIFS($C$7:$C$1006,$A$7:$A$1006,A364,$C$7:$C$1006,"&lt;"&amp;C364)))</f>
        <v/>
      </c>
      <c r="J364" s="68">
        <f>IF(I364="","",I364/TpM)</f>
        <v/>
      </c>
      <c r="K364" s="69">
        <f>IF(H364="","",COUNTIFS($A$7:$A$1006,A364,$C$7:$C$1006,"&gt;0")-H364)</f>
        <v/>
      </c>
      <c r="L364" s="69">
        <f>IF(H364="","",A364&amp;"|"&amp;H364)</f>
        <v/>
      </c>
      <c r="M364" s="69">
        <f>IF(A364="","",IFERROR(INDEX(Bestand!$AC$14:$AC$213,MATCH(A364,Bestand!$A$14:$A$213,0)),0))</f>
        <v/>
      </c>
      <c r="N364" s="69">
        <f>IF(OR(H364="",M364&lt;&gt;1),"",C364+ROW()/100000)</f>
        <v/>
      </c>
    </row>
    <row r="365" ht="20" customHeight="1">
      <c r="A365" s="60" t="n"/>
      <c r="B365" s="65">
        <f>IF(A365="","",IFERROR(INDEX(Bestand!$B$14:$B$213,MATCH(A365,Bestand!$A$14:$A$213,0)),"ID unbekannt"))</f>
        <v/>
      </c>
      <c r="C365" s="63" t="n"/>
      <c r="D365" s="62" t="n"/>
      <c r="E365" s="60" t="n"/>
      <c r="F365" s="60" t="n"/>
      <c r="G365" s="61" t="n"/>
      <c r="H365" s="69">
        <f>IF(OR(A365="",C365=""),"",COUNTIFS($A$7:$A$1006,A365,$C$7:$C$1006,"&lt;"&amp;C365)+1)</f>
        <v/>
      </c>
      <c r="I365" s="67">
        <f>IF(H365="","",IF(H365=1,"",C365-_xlfn.MAXIFS($C$7:$C$1006,$A$7:$A$1006,A365,$C$7:$C$1006,"&lt;"&amp;C365)))</f>
        <v/>
      </c>
      <c r="J365" s="68">
        <f>IF(I365="","",I365/TpM)</f>
        <v/>
      </c>
      <c r="K365" s="69">
        <f>IF(H365="","",COUNTIFS($A$7:$A$1006,A365,$C$7:$C$1006,"&gt;0")-H365)</f>
        <v/>
      </c>
      <c r="L365" s="69">
        <f>IF(H365="","",A365&amp;"|"&amp;H365)</f>
        <v/>
      </c>
      <c r="M365" s="69">
        <f>IF(A365="","",IFERROR(INDEX(Bestand!$AC$14:$AC$213,MATCH(A365,Bestand!$A$14:$A$213,0)),0))</f>
        <v/>
      </c>
      <c r="N365" s="69">
        <f>IF(OR(H365="",M365&lt;&gt;1),"",C365+ROW()/100000)</f>
        <v/>
      </c>
    </row>
    <row r="366" ht="20" customHeight="1">
      <c r="A366" s="60" t="n"/>
      <c r="B366" s="65">
        <f>IF(A366="","",IFERROR(INDEX(Bestand!$B$14:$B$213,MATCH(A366,Bestand!$A$14:$A$213,0)),"ID unbekannt"))</f>
        <v/>
      </c>
      <c r="C366" s="63" t="n"/>
      <c r="D366" s="62" t="n"/>
      <c r="E366" s="60" t="n"/>
      <c r="F366" s="60" t="n"/>
      <c r="G366" s="61" t="n"/>
      <c r="H366" s="69">
        <f>IF(OR(A366="",C366=""),"",COUNTIFS($A$7:$A$1006,A366,$C$7:$C$1006,"&lt;"&amp;C366)+1)</f>
        <v/>
      </c>
      <c r="I366" s="67">
        <f>IF(H366="","",IF(H366=1,"",C366-_xlfn.MAXIFS($C$7:$C$1006,$A$7:$A$1006,A366,$C$7:$C$1006,"&lt;"&amp;C366)))</f>
        <v/>
      </c>
      <c r="J366" s="68">
        <f>IF(I366="","",I366/TpM)</f>
        <v/>
      </c>
      <c r="K366" s="69">
        <f>IF(H366="","",COUNTIFS($A$7:$A$1006,A366,$C$7:$C$1006,"&gt;0")-H366)</f>
        <v/>
      </c>
      <c r="L366" s="69">
        <f>IF(H366="","",A366&amp;"|"&amp;H366)</f>
        <v/>
      </c>
      <c r="M366" s="69">
        <f>IF(A366="","",IFERROR(INDEX(Bestand!$AC$14:$AC$213,MATCH(A366,Bestand!$A$14:$A$213,0)),0))</f>
        <v/>
      </c>
      <c r="N366" s="69">
        <f>IF(OR(H366="",M366&lt;&gt;1),"",C366+ROW()/100000)</f>
        <v/>
      </c>
    </row>
    <row r="367" ht="20" customHeight="1">
      <c r="A367" s="60" t="n"/>
      <c r="B367" s="65">
        <f>IF(A367="","",IFERROR(INDEX(Bestand!$B$14:$B$213,MATCH(A367,Bestand!$A$14:$A$213,0)),"ID unbekannt"))</f>
        <v/>
      </c>
      <c r="C367" s="63" t="n"/>
      <c r="D367" s="62" t="n"/>
      <c r="E367" s="60" t="n"/>
      <c r="F367" s="60" t="n"/>
      <c r="G367" s="61" t="n"/>
      <c r="H367" s="69">
        <f>IF(OR(A367="",C367=""),"",COUNTIFS($A$7:$A$1006,A367,$C$7:$C$1006,"&lt;"&amp;C367)+1)</f>
        <v/>
      </c>
      <c r="I367" s="67">
        <f>IF(H367="","",IF(H367=1,"",C367-_xlfn.MAXIFS($C$7:$C$1006,$A$7:$A$1006,A367,$C$7:$C$1006,"&lt;"&amp;C367)))</f>
        <v/>
      </c>
      <c r="J367" s="68">
        <f>IF(I367="","",I367/TpM)</f>
        <v/>
      </c>
      <c r="K367" s="69">
        <f>IF(H367="","",COUNTIFS($A$7:$A$1006,A367,$C$7:$C$1006,"&gt;0")-H367)</f>
        <v/>
      </c>
      <c r="L367" s="69">
        <f>IF(H367="","",A367&amp;"|"&amp;H367)</f>
        <v/>
      </c>
      <c r="M367" s="69">
        <f>IF(A367="","",IFERROR(INDEX(Bestand!$AC$14:$AC$213,MATCH(A367,Bestand!$A$14:$A$213,0)),0))</f>
        <v/>
      </c>
      <c r="N367" s="69">
        <f>IF(OR(H367="",M367&lt;&gt;1),"",C367+ROW()/100000)</f>
        <v/>
      </c>
    </row>
    <row r="368" ht="20" customHeight="1">
      <c r="A368" s="60" t="n"/>
      <c r="B368" s="65">
        <f>IF(A368="","",IFERROR(INDEX(Bestand!$B$14:$B$213,MATCH(A368,Bestand!$A$14:$A$213,0)),"ID unbekannt"))</f>
        <v/>
      </c>
      <c r="C368" s="63" t="n"/>
      <c r="D368" s="62" t="n"/>
      <c r="E368" s="60" t="n"/>
      <c r="F368" s="60" t="n"/>
      <c r="G368" s="61" t="n"/>
      <c r="H368" s="69">
        <f>IF(OR(A368="",C368=""),"",COUNTIFS($A$7:$A$1006,A368,$C$7:$C$1006,"&lt;"&amp;C368)+1)</f>
        <v/>
      </c>
      <c r="I368" s="67">
        <f>IF(H368="","",IF(H368=1,"",C368-_xlfn.MAXIFS($C$7:$C$1006,$A$7:$A$1006,A368,$C$7:$C$1006,"&lt;"&amp;C368)))</f>
        <v/>
      </c>
      <c r="J368" s="68">
        <f>IF(I368="","",I368/TpM)</f>
        <v/>
      </c>
      <c r="K368" s="69">
        <f>IF(H368="","",COUNTIFS($A$7:$A$1006,A368,$C$7:$C$1006,"&gt;0")-H368)</f>
        <v/>
      </c>
      <c r="L368" s="69">
        <f>IF(H368="","",A368&amp;"|"&amp;H368)</f>
        <v/>
      </c>
      <c r="M368" s="69">
        <f>IF(A368="","",IFERROR(INDEX(Bestand!$AC$14:$AC$213,MATCH(A368,Bestand!$A$14:$A$213,0)),0))</f>
        <v/>
      </c>
      <c r="N368" s="69">
        <f>IF(OR(H368="",M368&lt;&gt;1),"",C368+ROW()/100000)</f>
        <v/>
      </c>
    </row>
    <row r="369" ht="20" customHeight="1">
      <c r="A369" s="60" t="n"/>
      <c r="B369" s="65">
        <f>IF(A369="","",IFERROR(INDEX(Bestand!$B$14:$B$213,MATCH(A369,Bestand!$A$14:$A$213,0)),"ID unbekannt"))</f>
        <v/>
      </c>
      <c r="C369" s="63" t="n"/>
      <c r="D369" s="62" t="n"/>
      <c r="E369" s="60" t="n"/>
      <c r="F369" s="60" t="n"/>
      <c r="G369" s="61" t="n"/>
      <c r="H369" s="69">
        <f>IF(OR(A369="",C369=""),"",COUNTIFS($A$7:$A$1006,A369,$C$7:$C$1006,"&lt;"&amp;C369)+1)</f>
        <v/>
      </c>
      <c r="I369" s="67">
        <f>IF(H369="","",IF(H369=1,"",C369-_xlfn.MAXIFS($C$7:$C$1006,$A$7:$A$1006,A369,$C$7:$C$1006,"&lt;"&amp;C369)))</f>
        <v/>
      </c>
      <c r="J369" s="68">
        <f>IF(I369="","",I369/TpM)</f>
        <v/>
      </c>
      <c r="K369" s="69">
        <f>IF(H369="","",COUNTIFS($A$7:$A$1006,A369,$C$7:$C$1006,"&gt;0")-H369)</f>
        <v/>
      </c>
      <c r="L369" s="69">
        <f>IF(H369="","",A369&amp;"|"&amp;H369)</f>
        <v/>
      </c>
      <c r="M369" s="69">
        <f>IF(A369="","",IFERROR(INDEX(Bestand!$AC$14:$AC$213,MATCH(A369,Bestand!$A$14:$A$213,0)),0))</f>
        <v/>
      </c>
      <c r="N369" s="69">
        <f>IF(OR(H369="",M369&lt;&gt;1),"",C369+ROW()/100000)</f>
        <v/>
      </c>
    </row>
    <row r="370" ht="20" customHeight="1">
      <c r="A370" s="60" t="n"/>
      <c r="B370" s="65">
        <f>IF(A370="","",IFERROR(INDEX(Bestand!$B$14:$B$213,MATCH(A370,Bestand!$A$14:$A$213,0)),"ID unbekannt"))</f>
        <v/>
      </c>
      <c r="C370" s="63" t="n"/>
      <c r="D370" s="62" t="n"/>
      <c r="E370" s="60" t="n"/>
      <c r="F370" s="60" t="n"/>
      <c r="G370" s="61" t="n"/>
      <c r="H370" s="69">
        <f>IF(OR(A370="",C370=""),"",COUNTIFS($A$7:$A$1006,A370,$C$7:$C$1006,"&lt;"&amp;C370)+1)</f>
        <v/>
      </c>
      <c r="I370" s="67">
        <f>IF(H370="","",IF(H370=1,"",C370-_xlfn.MAXIFS($C$7:$C$1006,$A$7:$A$1006,A370,$C$7:$C$1006,"&lt;"&amp;C370)))</f>
        <v/>
      </c>
      <c r="J370" s="68">
        <f>IF(I370="","",I370/TpM)</f>
        <v/>
      </c>
      <c r="K370" s="69">
        <f>IF(H370="","",COUNTIFS($A$7:$A$1006,A370,$C$7:$C$1006,"&gt;0")-H370)</f>
        <v/>
      </c>
      <c r="L370" s="69">
        <f>IF(H370="","",A370&amp;"|"&amp;H370)</f>
        <v/>
      </c>
      <c r="M370" s="69">
        <f>IF(A370="","",IFERROR(INDEX(Bestand!$AC$14:$AC$213,MATCH(A370,Bestand!$A$14:$A$213,0)),0))</f>
        <v/>
      </c>
      <c r="N370" s="69">
        <f>IF(OR(H370="",M370&lt;&gt;1),"",C370+ROW()/100000)</f>
        <v/>
      </c>
    </row>
    <row r="371" ht="20" customHeight="1">
      <c r="A371" s="60" t="n"/>
      <c r="B371" s="65">
        <f>IF(A371="","",IFERROR(INDEX(Bestand!$B$14:$B$213,MATCH(A371,Bestand!$A$14:$A$213,0)),"ID unbekannt"))</f>
        <v/>
      </c>
      <c r="C371" s="63" t="n"/>
      <c r="D371" s="62" t="n"/>
      <c r="E371" s="60" t="n"/>
      <c r="F371" s="60" t="n"/>
      <c r="G371" s="61" t="n"/>
      <c r="H371" s="69">
        <f>IF(OR(A371="",C371=""),"",COUNTIFS($A$7:$A$1006,A371,$C$7:$C$1006,"&lt;"&amp;C371)+1)</f>
        <v/>
      </c>
      <c r="I371" s="67">
        <f>IF(H371="","",IF(H371=1,"",C371-_xlfn.MAXIFS($C$7:$C$1006,$A$7:$A$1006,A371,$C$7:$C$1006,"&lt;"&amp;C371)))</f>
        <v/>
      </c>
      <c r="J371" s="68">
        <f>IF(I371="","",I371/TpM)</f>
        <v/>
      </c>
      <c r="K371" s="69">
        <f>IF(H371="","",COUNTIFS($A$7:$A$1006,A371,$C$7:$C$1006,"&gt;0")-H371)</f>
        <v/>
      </c>
      <c r="L371" s="69">
        <f>IF(H371="","",A371&amp;"|"&amp;H371)</f>
        <v/>
      </c>
      <c r="M371" s="69">
        <f>IF(A371="","",IFERROR(INDEX(Bestand!$AC$14:$AC$213,MATCH(A371,Bestand!$A$14:$A$213,0)),0))</f>
        <v/>
      </c>
      <c r="N371" s="69">
        <f>IF(OR(H371="",M371&lt;&gt;1),"",C371+ROW()/100000)</f>
        <v/>
      </c>
    </row>
    <row r="372" ht="20" customHeight="1">
      <c r="A372" s="60" t="n"/>
      <c r="B372" s="65">
        <f>IF(A372="","",IFERROR(INDEX(Bestand!$B$14:$B$213,MATCH(A372,Bestand!$A$14:$A$213,0)),"ID unbekannt"))</f>
        <v/>
      </c>
      <c r="C372" s="63" t="n"/>
      <c r="D372" s="62" t="n"/>
      <c r="E372" s="60" t="n"/>
      <c r="F372" s="60" t="n"/>
      <c r="G372" s="61" t="n"/>
      <c r="H372" s="69">
        <f>IF(OR(A372="",C372=""),"",COUNTIFS($A$7:$A$1006,A372,$C$7:$C$1006,"&lt;"&amp;C372)+1)</f>
        <v/>
      </c>
      <c r="I372" s="67">
        <f>IF(H372="","",IF(H372=1,"",C372-_xlfn.MAXIFS($C$7:$C$1006,$A$7:$A$1006,A372,$C$7:$C$1006,"&lt;"&amp;C372)))</f>
        <v/>
      </c>
      <c r="J372" s="68">
        <f>IF(I372="","",I372/TpM)</f>
        <v/>
      </c>
      <c r="K372" s="69">
        <f>IF(H372="","",COUNTIFS($A$7:$A$1006,A372,$C$7:$C$1006,"&gt;0")-H372)</f>
        <v/>
      </c>
      <c r="L372" s="69">
        <f>IF(H372="","",A372&amp;"|"&amp;H372)</f>
        <v/>
      </c>
      <c r="M372" s="69">
        <f>IF(A372="","",IFERROR(INDEX(Bestand!$AC$14:$AC$213,MATCH(A372,Bestand!$A$14:$A$213,0)),0))</f>
        <v/>
      </c>
      <c r="N372" s="69">
        <f>IF(OR(H372="",M372&lt;&gt;1),"",C372+ROW()/100000)</f>
        <v/>
      </c>
    </row>
    <row r="373" ht="20" customHeight="1">
      <c r="A373" s="60" t="n"/>
      <c r="B373" s="65">
        <f>IF(A373="","",IFERROR(INDEX(Bestand!$B$14:$B$213,MATCH(A373,Bestand!$A$14:$A$213,0)),"ID unbekannt"))</f>
        <v/>
      </c>
      <c r="C373" s="63" t="n"/>
      <c r="D373" s="62" t="n"/>
      <c r="E373" s="60" t="n"/>
      <c r="F373" s="60" t="n"/>
      <c r="G373" s="61" t="n"/>
      <c r="H373" s="69">
        <f>IF(OR(A373="",C373=""),"",COUNTIFS($A$7:$A$1006,A373,$C$7:$C$1006,"&lt;"&amp;C373)+1)</f>
        <v/>
      </c>
      <c r="I373" s="67">
        <f>IF(H373="","",IF(H373=1,"",C373-_xlfn.MAXIFS($C$7:$C$1006,$A$7:$A$1006,A373,$C$7:$C$1006,"&lt;"&amp;C373)))</f>
        <v/>
      </c>
      <c r="J373" s="68">
        <f>IF(I373="","",I373/TpM)</f>
        <v/>
      </c>
      <c r="K373" s="69">
        <f>IF(H373="","",COUNTIFS($A$7:$A$1006,A373,$C$7:$C$1006,"&gt;0")-H373)</f>
        <v/>
      </c>
      <c r="L373" s="69">
        <f>IF(H373="","",A373&amp;"|"&amp;H373)</f>
        <v/>
      </c>
      <c r="M373" s="69">
        <f>IF(A373="","",IFERROR(INDEX(Bestand!$AC$14:$AC$213,MATCH(A373,Bestand!$A$14:$A$213,0)),0))</f>
        <v/>
      </c>
      <c r="N373" s="69">
        <f>IF(OR(H373="",M373&lt;&gt;1),"",C373+ROW()/100000)</f>
        <v/>
      </c>
    </row>
    <row r="374" ht="20" customHeight="1">
      <c r="A374" s="60" t="n"/>
      <c r="B374" s="65">
        <f>IF(A374="","",IFERROR(INDEX(Bestand!$B$14:$B$213,MATCH(A374,Bestand!$A$14:$A$213,0)),"ID unbekannt"))</f>
        <v/>
      </c>
      <c r="C374" s="63" t="n"/>
      <c r="D374" s="62" t="n"/>
      <c r="E374" s="60" t="n"/>
      <c r="F374" s="60" t="n"/>
      <c r="G374" s="61" t="n"/>
      <c r="H374" s="69">
        <f>IF(OR(A374="",C374=""),"",COUNTIFS($A$7:$A$1006,A374,$C$7:$C$1006,"&lt;"&amp;C374)+1)</f>
        <v/>
      </c>
      <c r="I374" s="67">
        <f>IF(H374="","",IF(H374=1,"",C374-_xlfn.MAXIFS($C$7:$C$1006,$A$7:$A$1006,A374,$C$7:$C$1006,"&lt;"&amp;C374)))</f>
        <v/>
      </c>
      <c r="J374" s="68">
        <f>IF(I374="","",I374/TpM)</f>
        <v/>
      </c>
      <c r="K374" s="69">
        <f>IF(H374="","",COUNTIFS($A$7:$A$1006,A374,$C$7:$C$1006,"&gt;0")-H374)</f>
        <v/>
      </c>
      <c r="L374" s="69">
        <f>IF(H374="","",A374&amp;"|"&amp;H374)</f>
        <v/>
      </c>
      <c r="M374" s="69">
        <f>IF(A374="","",IFERROR(INDEX(Bestand!$AC$14:$AC$213,MATCH(A374,Bestand!$A$14:$A$213,0)),0))</f>
        <v/>
      </c>
      <c r="N374" s="69">
        <f>IF(OR(H374="",M374&lt;&gt;1),"",C374+ROW()/100000)</f>
        <v/>
      </c>
    </row>
    <row r="375" ht="20" customHeight="1">
      <c r="A375" s="60" t="n"/>
      <c r="B375" s="65">
        <f>IF(A375="","",IFERROR(INDEX(Bestand!$B$14:$B$213,MATCH(A375,Bestand!$A$14:$A$213,0)),"ID unbekannt"))</f>
        <v/>
      </c>
      <c r="C375" s="63" t="n"/>
      <c r="D375" s="62" t="n"/>
      <c r="E375" s="60" t="n"/>
      <c r="F375" s="60" t="n"/>
      <c r="G375" s="61" t="n"/>
      <c r="H375" s="69">
        <f>IF(OR(A375="",C375=""),"",COUNTIFS($A$7:$A$1006,A375,$C$7:$C$1006,"&lt;"&amp;C375)+1)</f>
        <v/>
      </c>
      <c r="I375" s="67">
        <f>IF(H375="","",IF(H375=1,"",C375-_xlfn.MAXIFS($C$7:$C$1006,$A$7:$A$1006,A375,$C$7:$C$1006,"&lt;"&amp;C375)))</f>
        <v/>
      </c>
      <c r="J375" s="68">
        <f>IF(I375="","",I375/TpM)</f>
        <v/>
      </c>
      <c r="K375" s="69">
        <f>IF(H375="","",COUNTIFS($A$7:$A$1006,A375,$C$7:$C$1006,"&gt;0")-H375)</f>
        <v/>
      </c>
      <c r="L375" s="69">
        <f>IF(H375="","",A375&amp;"|"&amp;H375)</f>
        <v/>
      </c>
      <c r="M375" s="69">
        <f>IF(A375="","",IFERROR(INDEX(Bestand!$AC$14:$AC$213,MATCH(A375,Bestand!$A$14:$A$213,0)),0))</f>
        <v/>
      </c>
      <c r="N375" s="69">
        <f>IF(OR(H375="",M375&lt;&gt;1),"",C375+ROW()/100000)</f>
        <v/>
      </c>
    </row>
    <row r="376" ht="20" customHeight="1">
      <c r="A376" s="60" t="n"/>
      <c r="B376" s="65">
        <f>IF(A376="","",IFERROR(INDEX(Bestand!$B$14:$B$213,MATCH(A376,Bestand!$A$14:$A$213,0)),"ID unbekannt"))</f>
        <v/>
      </c>
      <c r="C376" s="63" t="n"/>
      <c r="D376" s="62" t="n"/>
      <c r="E376" s="60" t="n"/>
      <c r="F376" s="60" t="n"/>
      <c r="G376" s="61" t="n"/>
      <c r="H376" s="69">
        <f>IF(OR(A376="",C376=""),"",COUNTIFS($A$7:$A$1006,A376,$C$7:$C$1006,"&lt;"&amp;C376)+1)</f>
        <v/>
      </c>
      <c r="I376" s="67">
        <f>IF(H376="","",IF(H376=1,"",C376-_xlfn.MAXIFS($C$7:$C$1006,$A$7:$A$1006,A376,$C$7:$C$1006,"&lt;"&amp;C376)))</f>
        <v/>
      </c>
      <c r="J376" s="68">
        <f>IF(I376="","",I376/TpM)</f>
        <v/>
      </c>
      <c r="K376" s="69">
        <f>IF(H376="","",COUNTIFS($A$7:$A$1006,A376,$C$7:$C$1006,"&gt;0")-H376)</f>
        <v/>
      </c>
      <c r="L376" s="69">
        <f>IF(H376="","",A376&amp;"|"&amp;H376)</f>
        <v/>
      </c>
      <c r="M376" s="69">
        <f>IF(A376="","",IFERROR(INDEX(Bestand!$AC$14:$AC$213,MATCH(A376,Bestand!$A$14:$A$213,0)),0))</f>
        <v/>
      </c>
      <c r="N376" s="69">
        <f>IF(OR(H376="",M376&lt;&gt;1),"",C376+ROW()/100000)</f>
        <v/>
      </c>
    </row>
    <row r="377" ht="20" customHeight="1">
      <c r="A377" s="60" t="n"/>
      <c r="B377" s="65">
        <f>IF(A377="","",IFERROR(INDEX(Bestand!$B$14:$B$213,MATCH(A377,Bestand!$A$14:$A$213,0)),"ID unbekannt"))</f>
        <v/>
      </c>
      <c r="C377" s="63" t="n"/>
      <c r="D377" s="62" t="n"/>
      <c r="E377" s="60" t="n"/>
      <c r="F377" s="60" t="n"/>
      <c r="G377" s="61" t="n"/>
      <c r="H377" s="69">
        <f>IF(OR(A377="",C377=""),"",COUNTIFS($A$7:$A$1006,A377,$C$7:$C$1006,"&lt;"&amp;C377)+1)</f>
        <v/>
      </c>
      <c r="I377" s="67">
        <f>IF(H377="","",IF(H377=1,"",C377-_xlfn.MAXIFS($C$7:$C$1006,$A$7:$A$1006,A377,$C$7:$C$1006,"&lt;"&amp;C377)))</f>
        <v/>
      </c>
      <c r="J377" s="68">
        <f>IF(I377="","",I377/TpM)</f>
        <v/>
      </c>
      <c r="K377" s="69">
        <f>IF(H377="","",COUNTIFS($A$7:$A$1006,A377,$C$7:$C$1006,"&gt;0")-H377)</f>
        <v/>
      </c>
      <c r="L377" s="69">
        <f>IF(H377="","",A377&amp;"|"&amp;H377)</f>
        <v/>
      </c>
      <c r="M377" s="69">
        <f>IF(A377="","",IFERROR(INDEX(Bestand!$AC$14:$AC$213,MATCH(A377,Bestand!$A$14:$A$213,0)),0))</f>
        <v/>
      </c>
      <c r="N377" s="69">
        <f>IF(OR(H377="",M377&lt;&gt;1),"",C377+ROW()/100000)</f>
        <v/>
      </c>
    </row>
    <row r="378" ht="20" customHeight="1">
      <c r="A378" s="60" t="n"/>
      <c r="B378" s="65">
        <f>IF(A378="","",IFERROR(INDEX(Bestand!$B$14:$B$213,MATCH(A378,Bestand!$A$14:$A$213,0)),"ID unbekannt"))</f>
        <v/>
      </c>
      <c r="C378" s="63" t="n"/>
      <c r="D378" s="62" t="n"/>
      <c r="E378" s="60" t="n"/>
      <c r="F378" s="60" t="n"/>
      <c r="G378" s="61" t="n"/>
      <c r="H378" s="69">
        <f>IF(OR(A378="",C378=""),"",COUNTIFS($A$7:$A$1006,A378,$C$7:$C$1006,"&lt;"&amp;C378)+1)</f>
        <v/>
      </c>
      <c r="I378" s="67">
        <f>IF(H378="","",IF(H378=1,"",C378-_xlfn.MAXIFS($C$7:$C$1006,$A$7:$A$1006,A378,$C$7:$C$1006,"&lt;"&amp;C378)))</f>
        <v/>
      </c>
      <c r="J378" s="68">
        <f>IF(I378="","",I378/TpM)</f>
        <v/>
      </c>
      <c r="K378" s="69">
        <f>IF(H378="","",COUNTIFS($A$7:$A$1006,A378,$C$7:$C$1006,"&gt;0")-H378)</f>
        <v/>
      </c>
      <c r="L378" s="69">
        <f>IF(H378="","",A378&amp;"|"&amp;H378)</f>
        <v/>
      </c>
      <c r="M378" s="69">
        <f>IF(A378="","",IFERROR(INDEX(Bestand!$AC$14:$AC$213,MATCH(A378,Bestand!$A$14:$A$213,0)),0))</f>
        <v/>
      </c>
      <c r="N378" s="69">
        <f>IF(OR(H378="",M378&lt;&gt;1),"",C378+ROW()/100000)</f>
        <v/>
      </c>
    </row>
    <row r="379" ht="20" customHeight="1">
      <c r="A379" s="60" t="n"/>
      <c r="B379" s="65">
        <f>IF(A379="","",IFERROR(INDEX(Bestand!$B$14:$B$213,MATCH(A379,Bestand!$A$14:$A$213,0)),"ID unbekannt"))</f>
        <v/>
      </c>
      <c r="C379" s="63" t="n"/>
      <c r="D379" s="62" t="n"/>
      <c r="E379" s="60" t="n"/>
      <c r="F379" s="60" t="n"/>
      <c r="G379" s="61" t="n"/>
      <c r="H379" s="69">
        <f>IF(OR(A379="",C379=""),"",COUNTIFS($A$7:$A$1006,A379,$C$7:$C$1006,"&lt;"&amp;C379)+1)</f>
        <v/>
      </c>
      <c r="I379" s="67">
        <f>IF(H379="","",IF(H379=1,"",C379-_xlfn.MAXIFS($C$7:$C$1006,$A$7:$A$1006,A379,$C$7:$C$1006,"&lt;"&amp;C379)))</f>
        <v/>
      </c>
      <c r="J379" s="68">
        <f>IF(I379="","",I379/TpM)</f>
        <v/>
      </c>
      <c r="K379" s="69">
        <f>IF(H379="","",COUNTIFS($A$7:$A$1006,A379,$C$7:$C$1006,"&gt;0")-H379)</f>
        <v/>
      </c>
      <c r="L379" s="69">
        <f>IF(H379="","",A379&amp;"|"&amp;H379)</f>
        <v/>
      </c>
      <c r="M379" s="69">
        <f>IF(A379="","",IFERROR(INDEX(Bestand!$AC$14:$AC$213,MATCH(A379,Bestand!$A$14:$A$213,0)),0))</f>
        <v/>
      </c>
      <c r="N379" s="69">
        <f>IF(OR(H379="",M379&lt;&gt;1),"",C379+ROW()/100000)</f>
        <v/>
      </c>
    </row>
    <row r="380" ht="20" customHeight="1">
      <c r="A380" s="60" t="n"/>
      <c r="B380" s="65">
        <f>IF(A380="","",IFERROR(INDEX(Bestand!$B$14:$B$213,MATCH(A380,Bestand!$A$14:$A$213,0)),"ID unbekannt"))</f>
        <v/>
      </c>
      <c r="C380" s="63" t="n"/>
      <c r="D380" s="62" t="n"/>
      <c r="E380" s="60" t="n"/>
      <c r="F380" s="60" t="n"/>
      <c r="G380" s="61" t="n"/>
      <c r="H380" s="69">
        <f>IF(OR(A380="",C380=""),"",COUNTIFS($A$7:$A$1006,A380,$C$7:$C$1006,"&lt;"&amp;C380)+1)</f>
        <v/>
      </c>
      <c r="I380" s="67">
        <f>IF(H380="","",IF(H380=1,"",C380-_xlfn.MAXIFS($C$7:$C$1006,$A$7:$A$1006,A380,$C$7:$C$1006,"&lt;"&amp;C380)))</f>
        <v/>
      </c>
      <c r="J380" s="68">
        <f>IF(I380="","",I380/TpM)</f>
        <v/>
      </c>
      <c r="K380" s="69">
        <f>IF(H380="","",COUNTIFS($A$7:$A$1006,A380,$C$7:$C$1006,"&gt;0")-H380)</f>
        <v/>
      </c>
      <c r="L380" s="69">
        <f>IF(H380="","",A380&amp;"|"&amp;H380)</f>
        <v/>
      </c>
      <c r="M380" s="69">
        <f>IF(A380="","",IFERROR(INDEX(Bestand!$AC$14:$AC$213,MATCH(A380,Bestand!$A$14:$A$213,0)),0))</f>
        <v/>
      </c>
      <c r="N380" s="69">
        <f>IF(OR(H380="",M380&lt;&gt;1),"",C380+ROW()/100000)</f>
        <v/>
      </c>
    </row>
    <row r="381" ht="20" customHeight="1">
      <c r="A381" s="60" t="n"/>
      <c r="B381" s="65">
        <f>IF(A381="","",IFERROR(INDEX(Bestand!$B$14:$B$213,MATCH(A381,Bestand!$A$14:$A$213,0)),"ID unbekannt"))</f>
        <v/>
      </c>
      <c r="C381" s="63" t="n"/>
      <c r="D381" s="62" t="n"/>
      <c r="E381" s="60" t="n"/>
      <c r="F381" s="60" t="n"/>
      <c r="G381" s="61" t="n"/>
      <c r="H381" s="69">
        <f>IF(OR(A381="",C381=""),"",COUNTIFS($A$7:$A$1006,A381,$C$7:$C$1006,"&lt;"&amp;C381)+1)</f>
        <v/>
      </c>
      <c r="I381" s="67">
        <f>IF(H381="","",IF(H381=1,"",C381-_xlfn.MAXIFS($C$7:$C$1006,$A$7:$A$1006,A381,$C$7:$C$1006,"&lt;"&amp;C381)))</f>
        <v/>
      </c>
      <c r="J381" s="68">
        <f>IF(I381="","",I381/TpM)</f>
        <v/>
      </c>
      <c r="K381" s="69">
        <f>IF(H381="","",COUNTIFS($A$7:$A$1006,A381,$C$7:$C$1006,"&gt;0")-H381)</f>
        <v/>
      </c>
      <c r="L381" s="69">
        <f>IF(H381="","",A381&amp;"|"&amp;H381)</f>
        <v/>
      </c>
      <c r="M381" s="69">
        <f>IF(A381="","",IFERROR(INDEX(Bestand!$AC$14:$AC$213,MATCH(A381,Bestand!$A$14:$A$213,0)),0))</f>
        <v/>
      </c>
      <c r="N381" s="69">
        <f>IF(OR(H381="",M381&lt;&gt;1),"",C381+ROW()/100000)</f>
        <v/>
      </c>
    </row>
    <row r="382" ht="20" customHeight="1">
      <c r="A382" s="60" t="n"/>
      <c r="B382" s="65">
        <f>IF(A382="","",IFERROR(INDEX(Bestand!$B$14:$B$213,MATCH(A382,Bestand!$A$14:$A$213,0)),"ID unbekannt"))</f>
        <v/>
      </c>
      <c r="C382" s="63" t="n"/>
      <c r="D382" s="62" t="n"/>
      <c r="E382" s="60" t="n"/>
      <c r="F382" s="60" t="n"/>
      <c r="G382" s="61" t="n"/>
      <c r="H382" s="69">
        <f>IF(OR(A382="",C382=""),"",COUNTIFS($A$7:$A$1006,A382,$C$7:$C$1006,"&lt;"&amp;C382)+1)</f>
        <v/>
      </c>
      <c r="I382" s="67">
        <f>IF(H382="","",IF(H382=1,"",C382-_xlfn.MAXIFS($C$7:$C$1006,$A$7:$A$1006,A382,$C$7:$C$1006,"&lt;"&amp;C382)))</f>
        <v/>
      </c>
      <c r="J382" s="68">
        <f>IF(I382="","",I382/TpM)</f>
        <v/>
      </c>
      <c r="K382" s="69">
        <f>IF(H382="","",COUNTIFS($A$7:$A$1006,A382,$C$7:$C$1006,"&gt;0")-H382)</f>
        <v/>
      </c>
      <c r="L382" s="69">
        <f>IF(H382="","",A382&amp;"|"&amp;H382)</f>
        <v/>
      </c>
      <c r="M382" s="69">
        <f>IF(A382="","",IFERROR(INDEX(Bestand!$AC$14:$AC$213,MATCH(A382,Bestand!$A$14:$A$213,0)),0))</f>
        <v/>
      </c>
      <c r="N382" s="69">
        <f>IF(OR(H382="",M382&lt;&gt;1),"",C382+ROW()/100000)</f>
        <v/>
      </c>
    </row>
    <row r="383" ht="20" customHeight="1">
      <c r="A383" s="60" t="n"/>
      <c r="B383" s="65">
        <f>IF(A383="","",IFERROR(INDEX(Bestand!$B$14:$B$213,MATCH(A383,Bestand!$A$14:$A$213,0)),"ID unbekannt"))</f>
        <v/>
      </c>
      <c r="C383" s="63" t="n"/>
      <c r="D383" s="62" t="n"/>
      <c r="E383" s="60" t="n"/>
      <c r="F383" s="60" t="n"/>
      <c r="G383" s="61" t="n"/>
      <c r="H383" s="69">
        <f>IF(OR(A383="",C383=""),"",COUNTIFS($A$7:$A$1006,A383,$C$7:$C$1006,"&lt;"&amp;C383)+1)</f>
        <v/>
      </c>
      <c r="I383" s="67">
        <f>IF(H383="","",IF(H383=1,"",C383-_xlfn.MAXIFS($C$7:$C$1006,$A$7:$A$1006,A383,$C$7:$C$1006,"&lt;"&amp;C383)))</f>
        <v/>
      </c>
      <c r="J383" s="68">
        <f>IF(I383="","",I383/TpM)</f>
        <v/>
      </c>
      <c r="K383" s="69">
        <f>IF(H383="","",COUNTIFS($A$7:$A$1006,A383,$C$7:$C$1006,"&gt;0")-H383)</f>
        <v/>
      </c>
      <c r="L383" s="69">
        <f>IF(H383="","",A383&amp;"|"&amp;H383)</f>
        <v/>
      </c>
      <c r="M383" s="69">
        <f>IF(A383="","",IFERROR(INDEX(Bestand!$AC$14:$AC$213,MATCH(A383,Bestand!$A$14:$A$213,0)),0))</f>
        <v/>
      </c>
      <c r="N383" s="69">
        <f>IF(OR(H383="",M383&lt;&gt;1),"",C383+ROW()/100000)</f>
        <v/>
      </c>
    </row>
    <row r="384" ht="20" customHeight="1">
      <c r="A384" s="60" t="n"/>
      <c r="B384" s="65">
        <f>IF(A384="","",IFERROR(INDEX(Bestand!$B$14:$B$213,MATCH(A384,Bestand!$A$14:$A$213,0)),"ID unbekannt"))</f>
        <v/>
      </c>
      <c r="C384" s="63" t="n"/>
      <c r="D384" s="62" t="n"/>
      <c r="E384" s="60" t="n"/>
      <c r="F384" s="60" t="n"/>
      <c r="G384" s="61" t="n"/>
      <c r="H384" s="69">
        <f>IF(OR(A384="",C384=""),"",COUNTIFS($A$7:$A$1006,A384,$C$7:$C$1006,"&lt;"&amp;C384)+1)</f>
        <v/>
      </c>
      <c r="I384" s="67">
        <f>IF(H384="","",IF(H384=1,"",C384-_xlfn.MAXIFS($C$7:$C$1006,$A$7:$A$1006,A384,$C$7:$C$1006,"&lt;"&amp;C384)))</f>
        <v/>
      </c>
      <c r="J384" s="68">
        <f>IF(I384="","",I384/TpM)</f>
        <v/>
      </c>
      <c r="K384" s="69">
        <f>IF(H384="","",COUNTIFS($A$7:$A$1006,A384,$C$7:$C$1006,"&gt;0")-H384)</f>
        <v/>
      </c>
      <c r="L384" s="69">
        <f>IF(H384="","",A384&amp;"|"&amp;H384)</f>
        <v/>
      </c>
      <c r="M384" s="69">
        <f>IF(A384="","",IFERROR(INDEX(Bestand!$AC$14:$AC$213,MATCH(A384,Bestand!$A$14:$A$213,0)),0))</f>
        <v/>
      </c>
      <c r="N384" s="69">
        <f>IF(OR(H384="",M384&lt;&gt;1),"",C384+ROW()/100000)</f>
        <v/>
      </c>
    </row>
    <row r="385" ht="20" customHeight="1">
      <c r="A385" s="60" t="n"/>
      <c r="B385" s="65">
        <f>IF(A385="","",IFERROR(INDEX(Bestand!$B$14:$B$213,MATCH(A385,Bestand!$A$14:$A$213,0)),"ID unbekannt"))</f>
        <v/>
      </c>
      <c r="C385" s="63" t="n"/>
      <c r="D385" s="62" t="n"/>
      <c r="E385" s="60" t="n"/>
      <c r="F385" s="60" t="n"/>
      <c r="G385" s="61" t="n"/>
      <c r="H385" s="69">
        <f>IF(OR(A385="",C385=""),"",COUNTIFS($A$7:$A$1006,A385,$C$7:$C$1006,"&lt;"&amp;C385)+1)</f>
        <v/>
      </c>
      <c r="I385" s="67">
        <f>IF(H385="","",IF(H385=1,"",C385-_xlfn.MAXIFS($C$7:$C$1006,$A$7:$A$1006,A385,$C$7:$C$1006,"&lt;"&amp;C385)))</f>
        <v/>
      </c>
      <c r="J385" s="68">
        <f>IF(I385="","",I385/TpM)</f>
        <v/>
      </c>
      <c r="K385" s="69">
        <f>IF(H385="","",COUNTIFS($A$7:$A$1006,A385,$C$7:$C$1006,"&gt;0")-H385)</f>
        <v/>
      </c>
      <c r="L385" s="69">
        <f>IF(H385="","",A385&amp;"|"&amp;H385)</f>
        <v/>
      </c>
      <c r="M385" s="69">
        <f>IF(A385="","",IFERROR(INDEX(Bestand!$AC$14:$AC$213,MATCH(A385,Bestand!$A$14:$A$213,0)),0))</f>
        <v/>
      </c>
      <c r="N385" s="69">
        <f>IF(OR(H385="",M385&lt;&gt;1),"",C385+ROW()/100000)</f>
        <v/>
      </c>
    </row>
    <row r="386" ht="20" customHeight="1">
      <c r="A386" s="60" t="n"/>
      <c r="B386" s="65">
        <f>IF(A386="","",IFERROR(INDEX(Bestand!$B$14:$B$213,MATCH(A386,Bestand!$A$14:$A$213,0)),"ID unbekannt"))</f>
        <v/>
      </c>
      <c r="C386" s="63" t="n"/>
      <c r="D386" s="62" t="n"/>
      <c r="E386" s="60" t="n"/>
      <c r="F386" s="60" t="n"/>
      <c r="G386" s="61" t="n"/>
      <c r="H386" s="69">
        <f>IF(OR(A386="",C386=""),"",COUNTIFS($A$7:$A$1006,A386,$C$7:$C$1006,"&lt;"&amp;C386)+1)</f>
        <v/>
      </c>
      <c r="I386" s="67">
        <f>IF(H386="","",IF(H386=1,"",C386-_xlfn.MAXIFS($C$7:$C$1006,$A$7:$A$1006,A386,$C$7:$C$1006,"&lt;"&amp;C386)))</f>
        <v/>
      </c>
      <c r="J386" s="68">
        <f>IF(I386="","",I386/TpM)</f>
        <v/>
      </c>
      <c r="K386" s="69">
        <f>IF(H386="","",COUNTIFS($A$7:$A$1006,A386,$C$7:$C$1006,"&gt;0")-H386)</f>
        <v/>
      </c>
      <c r="L386" s="69">
        <f>IF(H386="","",A386&amp;"|"&amp;H386)</f>
        <v/>
      </c>
      <c r="M386" s="69">
        <f>IF(A386="","",IFERROR(INDEX(Bestand!$AC$14:$AC$213,MATCH(A386,Bestand!$A$14:$A$213,0)),0))</f>
        <v/>
      </c>
      <c r="N386" s="69">
        <f>IF(OR(H386="",M386&lt;&gt;1),"",C386+ROW()/100000)</f>
        <v/>
      </c>
    </row>
    <row r="387" ht="20" customHeight="1">
      <c r="A387" s="60" t="n"/>
      <c r="B387" s="65">
        <f>IF(A387="","",IFERROR(INDEX(Bestand!$B$14:$B$213,MATCH(A387,Bestand!$A$14:$A$213,0)),"ID unbekannt"))</f>
        <v/>
      </c>
      <c r="C387" s="63" t="n"/>
      <c r="D387" s="62" t="n"/>
      <c r="E387" s="60" t="n"/>
      <c r="F387" s="60" t="n"/>
      <c r="G387" s="61" t="n"/>
      <c r="H387" s="69">
        <f>IF(OR(A387="",C387=""),"",COUNTIFS($A$7:$A$1006,A387,$C$7:$C$1006,"&lt;"&amp;C387)+1)</f>
        <v/>
      </c>
      <c r="I387" s="67">
        <f>IF(H387="","",IF(H387=1,"",C387-_xlfn.MAXIFS($C$7:$C$1006,$A$7:$A$1006,A387,$C$7:$C$1006,"&lt;"&amp;C387)))</f>
        <v/>
      </c>
      <c r="J387" s="68">
        <f>IF(I387="","",I387/TpM)</f>
        <v/>
      </c>
      <c r="K387" s="69">
        <f>IF(H387="","",COUNTIFS($A$7:$A$1006,A387,$C$7:$C$1006,"&gt;0")-H387)</f>
        <v/>
      </c>
      <c r="L387" s="69">
        <f>IF(H387="","",A387&amp;"|"&amp;H387)</f>
        <v/>
      </c>
      <c r="M387" s="69">
        <f>IF(A387="","",IFERROR(INDEX(Bestand!$AC$14:$AC$213,MATCH(A387,Bestand!$A$14:$A$213,0)),0))</f>
        <v/>
      </c>
      <c r="N387" s="69">
        <f>IF(OR(H387="",M387&lt;&gt;1),"",C387+ROW()/100000)</f>
        <v/>
      </c>
    </row>
    <row r="388" ht="20" customHeight="1">
      <c r="A388" s="60" t="n"/>
      <c r="B388" s="65">
        <f>IF(A388="","",IFERROR(INDEX(Bestand!$B$14:$B$213,MATCH(A388,Bestand!$A$14:$A$213,0)),"ID unbekannt"))</f>
        <v/>
      </c>
      <c r="C388" s="63" t="n"/>
      <c r="D388" s="62" t="n"/>
      <c r="E388" s="60" t="n"/>
      <c r="F388" s="60" t="n"/>
      <c r="G388" s="61" t="n"/>
      <c r="H388" s="69">
        <f>IF(OR(A388="",C388=""),"",COUNTIFS($A$7:$A$1006,A388,$C$7:$C$1006,"&lt;"&amp;C388)+1)</f>
        <v/>
      </c>
      <c r="I388" s="67">
        <f>IF(H388="","",IF(H388=1,"",C388-_xlfn.MAXIFS($C$7:$C$1006,$A$7:$A$1006,A388,$C$7:$C$1006,"&lt;"&amp;C388)))</f>
        <v/>
      </c>
      <c r="J388" s="68">
        <f>IF(I388="","",I388/TpM)</f>
        <v/>
      </c>
      <c r="K388" s="69">
        <f>IF(H388="","",COUNTIFS($A$7:$A$1006,A388,$C$7:$C$1006,"&gt;0")-H388)</f>
        <v/>
      </c>
      <c r="L388" s="69">
        <f>IF(H388="","",A388&amp;"|"&amp;H388)</f>
        <v/>
      </c>
      <c r="M388" s="69">
        <f>IF(A388="","",IFERROR(INDEX(Bestand!$AC$14:$AC$213,MATCH(A388,Bestand!$A$14:$A$213,0)),0))</f>
        <v/>
      </c>
      <c r="N388" s="69">
        <f>IF(OR(H388="",M388&lt;&gt;1),"",C388+ROW()/100000)</f>
        <v/>
      </c>
    </row>
    <row r="389" ht="20" customHeight="1">
      <c r="A389" s="60" t="n"/>
      <c r="B389" s="65">
        <f>IF(A389="","",IFERROR(INDEX(Bestand!$B$14:$B$213,MATCH(A389,Bestand!$A$14:$A$213,0)),"ID unbekannt"))</f>
        <v/>
      </c>
      <c r="C389" s="63" t="n"/>
      <c r="D389" s="62" t="n"/>
      <c r="E389" s="60" t="n"/>
      <c r="F389" s="60" t="n"/>
      <c r="G389" s="61" t="n"/>
      <c r="H389" s="69">
        <f>IF(OR(A389="",C389=""),"",COUNTIFS($A$7:$A$1006,A389,$C$7:$C$1006,"&lt;"&amp;C389)+1)</f>
        <v/>
      </c>
      <c r="I389" s="67">
        <f>IF(H389="","",IF(H389=1,"",C389-_xlfn.MAXIFS($C$7:$C$1006,$A$7:$A$1006,A389,$C$7:$C$1006,"&lt;"&amp;C389)))</f>
        <v/>
      </c>
      <c r="J389" s="68">
        <f>IF(I389="","",I389/TpM)</f>
        <v/>
      </c>
      <c r="K389" s="69">
        <f>IF(H389="","",COUNTIFS($A$7:$A$1006,A389,$C$7:$C$1006,"&gt;0")-H389)</f>
        <v/>
      </c>
      <c r="L389" s="69">
        <f>IF(H389="","",A389&amp;"|"&amp;H389)</f>
        <v/>
      </c>
      <c r="M389" s="69">
        <f>IF(A389="","",IFERROR(INDEX(Bestand!$AC$14:$AC$213,MATCH(A389,Bestand!$A$14:$A$213,0)),0))</f>
        <v/>
      </c>
      <c r="N389" s="69">
        <f>IF(OR(H389="",M389&lt;&gt;1),"",C389+ROW()/100000)</f>
        <v/>
      </c>
    </row>
    <row r="390" ht="20" customHeight="1">
      <c r="A390" s="60" t="n"/>
      <c r="B390" s="65">
        <f>IF(A390="","",IFERROR(INDEX(Bestand!$B$14:$B$213,MATCH(A390,Bestand!$A$14:$A$213,0)),"ID unbekannt"))</f>
        <v/>
      </c>
      <c r="C390" s="63" t="n"/>
      <c r="D390" s="62" t="n"/>
      <c r="E390" s="60" t="n"/>
      <c r="F390" s="60" t="n"/>
      <c r="G390" s="61" t="n"/>
      <c r="H390" s="69">
        <f>IF(OR(A390="",C390=""),"",COUNTIFS($A$7:$A$1006,A390,$C$7:$C$1006,"&lt;"&amp;C390)+1)</f>
        <v/>
      </c>
      <c r="I390" s="67">
        <f>IF(H390="","",IF(H390=1,"",C390-_xlfn.MAXIFS($C$7:$C$1006,$A$7:$A$1006,A390,$C$7:$C$1006,"&lt;"&amp;C390)))</f>
        <v/>
      </c>
      <c r="J390" s="68">
        <f>IF(I390="","",I390/TpM)</f>
        <v/>
      </c>
      <c r="K390" s="69">
        <f>IF(H390="","",COUNTIFS($A$7:$A$1006,A390,$C$7:$C$1006,"&gt;0")-H390)</f>
        <v/>
      </c>
      <c r="L390" s="69">
        <f>IF(H390="","",A390&amp;"|"&amp;H390)</f>
        <v/>
      </c>
      <c r="M390" s="69">
        <f>IF(A390="","",IFERROR(INDEX(Bestand!$AC$14:$AC$213,MATCH(A390,Bestand!$A$14:$A$213,0)),0))</f>
        <v/>
      </c>
      <c r="N390" s="69">
        <f>IF(OR(H390="",M390&lt;&gt;1),"",C390+ROW()/100000)</f>
        <v/>
      </c>
    </row>
    <row r="391" ht="20" customHeight="1">
      <c r="A391" s="60" t="n"/>
      <c r="B391" s="65">
        <f>IF(A391="","",IFERROR(INDEX(Bestand!$B$14:$B$213,MATCH(A391,Bestand!$A$14:$A$213,0)),"ID unbekannt"))</f>
        <v/>
      </c>
      <c r="C391" s="63" t="n"/>
      <c r="D391" s="62" t="n"/>
      <c r="E391" s="60" t="n"/>
      <c r="F391" s="60" t="n"/>
      <c r="G391" s="61" t="n"/>
      <c r="H391" s="69">
        <f>IF(OR(A391="",C391=""),"",COUNTIFS($A$7:$A$1006,A391,$C$7:$C$1006,"&lt;"&amp;C391)+1)</f>
        <v/>
      </c>
      <c r="I391" s="67">
        <f>IF(H391="","",IF(H391=1,"",C391-_xlfn.MAXIFS($C$7:$C$1006,$A$7:$A$1006,A391,$C$7:$C$1006,"&lt;"&amp;C391)))</f>
        <v/>
      </c>
      <c r="J391" s="68">
        <f>IF(I391="","",I391/TpM)</f>
        <v/>
      </c>
      <c r="K391" s="69">
        <f>IF(H391="","",COUNTIFS($A$7:$A$1006,A391,$C$7:$C$1006,"&gt;0")-H391)</f>
        <v/>
      </c>
      <c r="L391" s="69">
        <f>IF(H391="","",A391&amp;"|"&amp;H391)</f>
        <v/>
      </c>
      <c r="M391" s="69">
        <f>IF(A391="","",IFERROR(INDEX(Bestand!$AC$14:$AC$213,MATCH(A391,Bestand!$A$14:$A$213,0)),0))</f>
        <v/>
      </c>
      <c r="N391" s="69">
        <f>IF(OR(H391="",M391&lt;&gt;1),"",C391+ROW()/100000)</f>
        <v/>
      </c>
    </row>
    <row r="392" ht="20" customHeight="1">
      <c r="A392" s="60" t="n"/>
      <c r="B392" s="65">
        <f>IF(A392="","",IFERROR(INDEX(Bestand!$B$14:$B$213,MATCH(A392,Bestand!$A$14:$A$213,0)),"ID unbekannt"))</f>
        <v/>
      </c>
      <c r="C392" s="63" t="n"/>
      <c r="D392" s="62" t="n"/>
      <c r="E392" s="60" t="n"/>
      <c r="F392" s="60" t="n"/>
      <c r="G392" s="61" t="n"/>
      <c r="H392" s="69">
        <f>IF(OR(A392="",C392=""),"",COUNTIFS($A$7:$A$1006,A392,$C$7:$C$1006,"&lt;"&amp;C392)+1)</f>
        <v/>
      </c>
      <c r="I392" s="67">
        <f>IF(H392="","",IF(H392=1,"",C392-_xlfn.MAXIFS($C$7:$C$1006,$A$7:$A$1006,A392,$C$7:$C$1006,"&lt;"&amp;C392)))</f>
        <v/>
      </c>
      <c r="J392" s="68">
        <f>IF(I392="","",I392/TpM)</f>
        <v/>
      </c>
      <c r="K392" s="69">
        <f>IF(H392="","",COUNTIFS($A$7:$A$1006,A392,$C$7:$C$1006,"&gt;0")-H392)</f>
        <v/>
      </c>
      <c r="L392" s="69">
        <f>IF(H392="","",A392&amp;"|"&amp;H392)</f>
        <v/>
      </c>
      <c r="M392" s="69">
        <f>IF(A392="","",IFERROR(INDEX(Bestand!$AC$14:$AC$213,MATCH(A392,Bestand!$A$14:$A$213,0)),0))</f>
        <v/>
      </c>
      <c r="N392" s="69">
        <f>IF(OR(H392="",M392&lt;&gt;1),"",C392+ROW()/100000)</f>
        <v/>
      </c>
    </row>
    <row r="393" ht="20" customHeight="1">
      <c r="A393" s="60" t="n"/>
      <c r="B393" s="65">
        <f>IF(A393="","",IFERROR(INDEX(Bestand!$B$14:$B$213,MATCH(A393,Bestand!$A$14:$A$213,0)),"ID unbekannt"))</f>
        <v/>
      </c>
      <c r="C393" s="63" t="n"/>
      <c r="D393" s="62" t="n"/>
      <c r="E393" s="60" t="n"/>
      <c r="F393" s="60" t="n"/>
      <c r="G393" s="61" t="n"/>
      <c r="H393" s="69">
        <f>IF(OR(A393="",C393=""),"",COUNTIFS($A$7:$A$1006,A393,$C$7:$C$1006,"&lt;"&amp;C393)+1)</f>
        <v/>
      </c>
      <c r="I393" s="67">
        <f>IF(H393="","",IF(H393=1,"",C393-_xlfn.MAXIFS($C$7:$C$1006,$A$7:$A$1006,A393,$C$7:$C$1006,"&lt;"&amp;C393)))</f>
        <v/>
      </c>
      <c r="J393" s="68">
        <f>IF(I393="","",I393/TpM)</f>
        <v/>
      </c>
      <c r="K393" s="69">
        <f>IF(H393="","",COUNTIFS($A$7:$A$1006,A393,$C$7:$C$1006,"&gt;0")-H393)</f>
        <v/>
      </c>
      <c r="L393" s="69">
        <f>IF(H393="","",A393&amp;"|"&amp;H393)</f>
        <v/>
      </c>
      <c r="M393" s="69">
        <f>IF(A393="","",IFERROR(INDEX(Bestand!$AC$14:$AC$213,MATCH(A393,Bestand!$A$14:$A$213,0)),0))</f>
        <v/>
      </c>
      <c r="N393" s="69">
        <f>IF(OR(H393="",M393&lt;&gt;1),"",C393+ROW()/100000)</f>
        <v/>
      </c>
    </row>
    <row r="394" ht="20" customHeight="1">
      <c r="A394" s="60" t="n"/>
      <c r="B394" s="65">
        <f>IF(A394="","",IFERROR(INDEX(Bestand!$B$14:$B$213,MATCH(A394,Bestand!$A$14:$A$213,0)),"ID unbekannt"))</f>
        <v/>
      </c>
      <c r="C394" s="63" t="n"/>
      <c r="D394" s="62" t="n"/>
      <c r="E394" s="60" t="n"/>
      <c r="F394" s="60" t="n"/>
      <c r="G394" s="61" t="n"/>
      <c r="H394" s="69">
        <f>IF(OR(A394="",C394=""),"",COUNTIFS($A$7:$A$1006,A394,$C$7:$C$1006,"&lt;"&amp;C394)+1)</f>
        <v/>
      </c>
      <c r="I394" s="67">
        <f>IF(H394="","",IF(H394=1,"",C394-_xlfn.MAXIFS($C$7:$C$1006,$A$7:$A$1006,A394,$C$7:$C$1006,"&lt;"&amp;C394)))</f>
        <v/>
      </c>
      <c r="J394" s="68">
        <f>IF(I394="","",I394/TpM)</f>
        <v/>
      </c>
      <c r="K394" s="69">
        <f>IF(H394="","",COUNTIFS($A$7:$A$1006,A394,$C$7:$C$1006,"&gt;0")-H394)</f>
        <v/>
      </c>
      <c r="L394" s="69">
        <f>IF(H394="","",A394&amp;"|"&amp;H394)</f>
        <v/>
      </c>
      <c r="M394" s="69">
        <f>IF(A394="","",IFERROR(INDEX(Bestand!$AC$14:$AC$213,MATCH(A394,Bestand!$A$14:$A$213,0)),0))</f>
        <v/>
      </c>
      <c r="N394" s="69">
        <f>IF(OR(H394="",M394&lt;&gt;1),"",C394+ROW()/100000)</f>
        <v/>
      </c>
    </row>
    <row r="395" ht="20" customHeight="1">
      <c r="A395" s="60" t="n"/>
      <c r="B395" s="65">
        <f>IF(A395="","",IFERROR(INDEX(Bestand!$B$14:$B$213,MATCH(A395,Bestand!$A$14:$A$213,0)),"ID unbekannt"))</f>
        <v/>
      </c>
      <c r="C395" s="63" t="n"/>
      <c r="D395" s="62" t="n"/>
      <c r="E395" s="60" t="n"/>
      <c r="F395" s="60" t="n"/>
      <c r="G395" s="61" t="n"/>
      <c r="H395" s="69">
        <f>IF(OR(A395="",C395=""),"",COUNTIFS($A$7:$A$1006,A395,$C$7:$C$1006,"&lt;"&amp;C395)+1)</f>
        <v/>
      </c>
      <c r="I395" s="67">
        <f>IF(H395="","",IF(H395=1,"",C395-_xlfn.MAXIFS($C$7:$C$1006,$A$7:$A$1006,A395,$C$7:$C$1006,"&lt;"&amp;C395)))</f>
        <v/>
      </c>
      <c r="J395" s="68">
        <f>IF(I395="","",I395/TpM)</f>
        <v/>
      </c>
      <c r="K395" s="69">
        <f>IF(H395="","",COUNTIFS($A$7:$A$1006,A395,$C$7:$C$1006,"&gt;0")-H395)</f>
        <v/>
      </c>
      <c r="L395" s="69">
        <f>IF(H395="","",A395&amp;"|"&amp;H395)</f>
        <v/>
      </c>
      <c r="M395" s="69">
        <f>IF(A395="","",IFERROR(INDEX(Bestand!$AC$14:$AC$213,MATCH(A395,Bestand!$A$14:$A$213,0)),0))</f>
        <v/>
      </c>
      <c r="N395" s="69">
        <f>IF(OR(H395="",M395&lt;&gt;1),"",C395+ROW()/100000)</f>
        <v/>
      </c>
    </row>
    <row r="396" ht="20" customHeight="1">
      <c r="A396" s="60" t="n"/>
      <c r="B396" s="65">
        <f>IF(A396="","",IFERROR(INDEX(Bestand!$B$14:$B$213,MATCH(A396,Bestand!$A$14:$A$213,0)),"ID unbekannt"))</f>
        <v/>
      </c>
      <c r="C396" s="63" t="n"/>
      <c r="D396" s="62" t="n"/>
      <c r="E396" s="60" t="n"/>
      <c r="F396" s="60" t="n"/>
      <c r="G396" s="61" t="n"/>
      <c r="H396" s="69">
        <f>IF(OR(A396="",C396=""),"",COUNTIFS($A$7:$A$1006,A396,$C$7:$C$1006,"&lt;"&amp;C396)+1)</f>
        <v/>
      </c>
      <c r="I396" s="67">
        <f>IF(H396="","",IF(H396=1,"",C396-_xlfn.MAXIFS($C$7:$C$1006,$A$7:$A$1006,A396,$C$7:$C$1006,"&lt;"&amp;C396)))</f>
        <v/>
      </c>
      <c r="J396" s="68">
        <f>IF(I396="","",I396/TpM)</f>
        <v/>
      </c>
      <c r="K396" s="69">
        <f>IF(H396="","",COUNTIFS($A$7:$A$1006,A396,$C$7:$C$1006,"&gt;0")-H396)</f>
        <v/>
      </c>
      <c r="L396" s="69">
        <f>IF(H396="","",A396&amp;"|"&amp;H396)</f>
        <v/>
      </c>
      <c r="M396" s="69">
        <f>IF(A396="","",IFERROR(INDEX(Bestand!$AC$14:$AC$213,MATCH(A396,Bestand!$A$14:$A$213,0)),0))</f>
        <v/>
      </c>
      <c r="N396" s="69">
        <f>IF(OR(H396="",M396&lt;&gt;1),"",C396+ROW()/100000)</f>
        <v/>
      </c>
    </row>
    <row r="397" ht="20" customHeight="1">
      <c r="A397" s="60" t="n"/>
      <c r="B397" s="65">
        <f>IF(A397="","",IFERROR(INDEX(Bestand!$B$14:$B$213,MATCH(A397,Bestand!$A$14:$A$213,0)),"ID unbekannt"))</f>
        <v/>
      </c>
      <c r="C397" s="63" t="n"/>
      <c r="D397" s="62" t="n"/>
      <c r="E397" s="60" t="n"/>
      <c r="F397" s="60" t="n"/>
      <c r="G397" s="61" t="n"/>
      <c r="H397" s="69">
        <f>IF(OR(A397="",C397=""),"",COUNTIFS($A$7:$A$1006,A397,$C$7:$C$1006,"&lt;"&amp;C397)+1)</f>
        <v/>
      </c>
      <c r="I397" s="67">
        <f>IF(H397="","",IF(H397=1,"",C397-_xlfn.MAXIFS($C$7:$C$1006,$A$7:$A$1006,A397,$C$7:$C$1006,"&lt;"&amp;C397)))</f>
        <v/>
      </c>
      <c r="J397" s="68">
        <f>IF(I397="","",I397/TpM)</f>
        <v/>
      </c>
      <c r="K397" s="69">
        <f>IF(H397="","",COUNTIFS($A$7:$A$1006,A397,$C$7:$C$1006,"&gt;0")-H397)</f>
        <v/>
      </c>
      <c r="L397" s="69">
        <f>IF(H397="","",A397&amp;"|"&amp;H397)</f>
        <v/>
      </c>
      <c r="M397" s="69">
        <f>IF(A397="","",IFERROR(INDEX(Bestand!$AC$14:$AC$213,MATCH(A397,Bestand!$A$14:$A$213,0)),0))</f>
        <v/>
      </c>
      <c r="N397" s="69">
        <f>IF(OR(H397="",M397&lt;&gt;1),"",C397+ROW()/100000)</f>
        <v/>
      </c>
    </row>
    <row r="398" ht="20" customHeight="1">
      <c r="A398" s="60" t="n"/>
      <c r="B398" s="65">
        <f>IF(A398="","",IFERROR(INDEX(Bestand!$B$14:$B$213,MATCH(A398,Bestand!$A$14:$A$213,0)),"ID unbekannt"))</f>
        <v/>
      </c>
      <c r="C398" s="63" t="n"/>
      <c r="D398" s="62" t="n"/>
      <c r="E398" s="60" t="n"/>
      <c r="F398" s="60" t="n"/>
      <c r="G398" s="61" t="n"/>
      <c r="H398" s="69">
        <f>IF(OR(A398="",C398=""),"",COUNTIFS($A$7:$A$1006,A398,$C$7:$C$1006,"&lt;"&amp;C398)+1)</f>
        <v/>
      </c>
      <c r="I398" s="67">
        <f>IF(H398="","",IF(H398=1,"",C398-_xlfn.MAXIFS($C$7:$C$1006,$A$7:$A$1006,A398,$C$7:$C$1006,"&lt;"&amp;C398)))</f>
        <v/>
      </c>
      <c r="J398" s="68">
        <f>IF(I398="","",I398/TpM)</f>
        <v/>
      </c>
      <c r="K398" s="69">
        <f>IF(H398="","",COUNTIFS($A$7:$A$1006,A398,$C$7:$C$1006,"&gt;0")-H398)</f>
        <v/>
      </c>
      <c r="L398" s="69">
        <f>IF(H398="","",A398&amp;"|"&amp;H398)</f>
        <v/>
      </c>
      <c r="M398" s="69">
        <f>IF(A398="","",IFERROR(INDEX(Bestand!$AC$14:$AC$213,MATCH(A398,Bestand!$A$14:$A$213,0)),0))</f>
        <v/>
      </c>
      <c r="N398" s="69">
        <f>IF(OR(H398="",M398&lt;&gt;1),"",C398+ROW()/100000)</f>
        <v/>
      </c>
    </row>
    <row r="399" ht="20" customHeight="1">
      <c r="A399" s="60" t="n"/>
      <c r="B399" s="65">
        <f>IF(A399="","",IFERROR(INDEX(Bestand!$B$14:$B$213,MATCH(A399,Bestand!$A$14:$A$213,0)),"ID unbekannt"))</f>
        <v/>
      </c>
      <c r="C399" s="63" t="n"/>
      <c r="D399" s="62" t="n"/>
      <c r="E399" s="60" t="n"/>
      <c r="F399" s="60" t="n"/>
      <c r="G399" s="61" t="n"/>
      <c r="H399" s="69">
        <f>IF(OR(A399="",C399=""),"",COUNTIFS($A$7:$A$1006,A399,$C$7:$C$1006,"&lt;"&amp;C399)+1)</f>
        <v/>
      </c>
      <c r="I399" s="67">
        <f>IF(H399="","",IF(H399=1,"",C399-_xlfn.MAXIFS($C$7:$C$1006,$A$7:$A$1006,A399,$C$7:$C$1006,"&lt;"&amp;C399)))</f>
        <v/>
      </c>
      <c r="J399" s="68">
        <f>IF(I399="","",I399/TpM)</f>
        <v/>
      </c>
      <c r="K399" s="69">
        <f>IF(H399="","",COUNTIFS($A$7:$A$1006,A399,$C$7:$C$1006,"&gt;0")-H399)</f>
        <v/>
      </c>
      <c r="L399" s="69">
        <f>IF(H399="","",A399&amp;"|"&amp;H399)</f>
        <v/>
      </c>
      <c r="M399" s="69">
        <f>IF(A399="","",IFERROR(INDEX(Bestand!$AC$14:$AC$213,MATCH(A399,Bestand!$A$14:$A$213,0)),0))</f>
        <v/>
      </c>
      <c r="N399" s="69">
        <f>IF(OR(H399="",M399&lt;&gt;1),"",C399+ROW()/100000)</f>
        <v/>
      </c>
    </row>
    <row r="400" ht="20" customHeight="1">
      <c r="A400" s="60" t="n"/>
      <c r="B400" s="65">
        <f>IF(A400="","",IFERROR(INDEX(Bestand!$B$14:$B$213,MATCH(A400,Bestand!$A$14:$A$213,0)),"ID unbekannt"))</f>
        <v/>
      </c>
      <c r="C400" s="63" t="n"/>
      <c r="D400" s="62" t="n"/>
      <c r="E400" s="60" t="n"/>
      <c r="F400" s="60" t="n"/>
      <c r="G400" s="61" t="n"/>
      <c r="H400" s="69">
        <f>IF(OR(A400="",C400=""),"",COUNTIFS($A$7:$A$1006,A400,$C$7:$C$1006,"&lt;"&amp;C400)+1)</f>
        <v/>
      </c>
      <c r="I400" s="67">
        <f>IF(H400="","",IF(H400=1,"",C400-_xlfn.MAXIFS($C$7:$C$1006,$A$7:$A$1006,A400,$C$7:$C$1006,"&lt;"&amp;C400)))</f>
        <v/>
      </c>
      <c r="J400" s="68">
        <f>IF(I400="","",I400/TpM)</f>
        <v/>
      </c>
      <c r="K400" s="69">
        <f>IF(H400="","",COUNTIFS($A$7:$A$1006,A400,$C$7:$C$1006,"&gt;0")-H400)</f>
        <v/>
      </c>
      <c r="L400" s="69">
        <f>IF(H400="","",A400&amp;"|"&amp;H400)</f>
        <v/>
      </c>
      <c r="M400" s="69">
        <f>IF(A400="","",IFERROR(INDEX(Bestand!$AC$14:$AC$213,MATCH(A400,Bestand!$A$14:$A$213,0)),0))</f>
        <v/>
      </c>
      <c r="N400" s="69">
        <f>IF(OR(H400="",M400&lt;&gt;1),"",C400+ROW()/100000)</f>
        <v/>
      </c>
    </row>
    <row r="401" ht="20" customHeight="1">
      <c r="A401" s="60" t="n"/>
      <c r="B401" s="65">
        <f>IF(A401="","",IFERROR(INDEX(Bestand!$B$14:$B$213,MATCH(A401,Bestand!$A$14:$A$213,0)),"ID unbekannt"))</f>
        <v/>
      </c>
      <c r="C401" s="63" t="n"/>
      <c r="D401" s="62" t="n"/>
      <c r="E401" s="60" t="n"/>
      <c r="F401" s="60" t="n"/>
      <c r="G401" s="61" t="n"/>
      <c r="H401" s="69">
        <f>IF(OR(A401="",C401=""),"",COUNTIFS($A$7:$A$1006,A401,$C$7:$C$1006,"&lt;"&amp;C401)+1)</f>
        <v/>
      </c>
      <c r="I401" s="67">
        <f>IF(H401="","",IF(H401=1,"",C401-_xlfn.MAXIFS($C$7:$C$1006,$A$7:$A$1006,A401,$C$7:$C$1006,"&lt;"&amp;C401)))</f>
        <v/>
      </c>
      <c r="J401" s="68">
        <f>IF(I401="","",I401/TpM)</f>
        <v/>
      </c>
      <c r="K401" s="69">
        <f>IF(H401="","",COUNTIFS($A$7:$A$1006,A401,$C$7:$C$1006,"&gt;0")-H401)</f>
        <v/>
      </c>
      <c r="L401" s="69">
        <f>IF(H401="","",A401&amp;"|"&amp;H401)</f>
        <v/>
      </c>
      <c r="M401" s="69">
        <f>IF(A401="","",IFERROR(INDEX(Bestand!$AC$14:$AC$213,MATCH(A401,Bestand!$A$14:$A$213,0)),0))</f>
        <v/>
      </c>
      <c r="N401" s="69">
        <f>IF(OR(H401="",M401&lt;&gt;1),"",C401+ROW()/100000)</f>
        <v/>
      </c>
    </row>
    <row r="402" ht="20" customHeight="1">
      <c r="A402" s="60" t="n"/>
      <c r="B402" s="65">
        <f>IF(A402="","",IFERROR(INDEX(Bestand!$B$14:$B$213,MATCH(A402,Bestand!$A$14:$A$213,0)),"ID unbekannt"))</f>
        <v/>
      </c>
      <c r="C402" s="63" t="n"/>
      <c r="D402" s="62" t="n"/>
      <c r="E402" s="60" t="n"/>
      <c r="F402" s="60" t="n"/>
      <c r="G402" s="61" t="n"/>
      <c r="H402" s="69">
        <f>IF(OR(A402="",C402=""),"",COUNTIFS($A$7:$A$1006,A402,$C$7:$C$1006,"&lt;"&amp;C402)+1)</f>
        <v/>
      </c>
      <c r="I402" s="67">
        <f>IF(H402="","",IF(H402=1,"",C402-_xlfn.MAXIFS($C$7:$C$1006,$A$7:$A$1006,A402,$C$7:$C$1006,"&lt;"&amp;C402)))</f>
        <v/>
      </c>
      <c r="J402" s="68">
        <f>IF(I402="","",I402/TpM)</f>
        <v/>
      </c>
      <c r="K402" s="69">
        <f>IF(H402="","",COUNTIFS($A$7:$A$1006,A402,$C$7:$C$1006,"&gt;0")-H402)</f>
        <v/>
      </c>
      <c r="L402" s="69">
        <f>IF(H402="","",A402&amp;"|"&amp;H402)</f>
        <v/>
      </c>
      <c r="M402" s="69">
        <f>IF(A402="","",IFERROR(INDEX(Bestand!$AC$14:$AC$213,MATCH(A402,Bestand!$A$14:$A$213,0)),0))</f>
        <v/>
      </c>
      <c r="N402" s="69">
        <f>IF(OR(H402="",M402&lt;&gt;1),"",C402+ROW()/100000)</f>
        <v/>
      </c>
    </row>
    <row r="403" ht="20" customHeight="1">
      <c r="A403" s="60" t="n"/>
      <c r="B403" s="65">
        <f>IF(A403="","",IFERROR(INDEX(Bestand!$B$14:$B$213,MATCH(A403,Bestand!$A$14:$A$213,0)),"ID unbekannt"))</f>
        <v/>
      </c>
      <c r="C403" s="63" t="n"/>
      <c r="D403" s="62" t="n"/>
      <c r="E403" s="60" t="n"/>
      <c r="F403" s="60" t="n"/>
      <c r="G403" s="61" t="n"/>
      <c r="H403" s="69">
        <f>IF(OR(A403="",C403=""),"",COUNTIFS($A$7:$A$1006,A403,$C$7:$C$1006,"&lt;"&amp;C403)+1)</f>
        <v/>
      </c>
      <c r="I403" s="67">
        <f>IF(H403="","",IF(H403=1,"",C403-_xlfn.MAXIFS($C$7:$C$1006,$A$7:$A$1006,A403,$C$7:$C$1006,"&lt;"&amp;C403)))</f>
        <v/>
      </c>
      <c r="J403" s="68">
        <f>IF(I403="","",I403/TpM)</f>
        <v/>
      </c>
      <c r="K403" s="69">
        <f>IF(H403="","",COUNTIFS($A$7:$A$1006,A403,$C$7:$C$1006,"&gt;0")-H403)</f>
        <v/>
      </c>
      <c r="L403" s="69">
        <f>IF(H403="","",A403&amp;"|"&amp;H403)</f>
        <v/>
      </c>
      <c r="M403" s="69">
        <f>IF(A403="","",IFERROR(INDEX(Bestand!$AC$14:$AC$213,MATCH(A403,Bestand!$A$14:$A$213,0)),0))</f>
        <v/>
      </c>
      <c r="N403" s="69">
        <f>IF(OR(H403="",M403&lt;&gt;1),"",C403+ROW()/100000)</f>
        <v/>
      </c>
    </row>
    <row r="404" ht="20" customHeight="1">
      <c r="A404" s="60" t="n"/>
      <c r="B404" s="65">
        <f>IF(A404="","",IFERROR(INDEX(Bestand!$B$14:$B$213,MATCH(A404,Bestand!$A$14:$A$213,0)),"ID unbekannt"))</f>
        <v/>
      </c>
      <c r="C404" s="63" t="n"/>
      <c r="D404" s="62" t="n"/>
      <c r="E404" s="60" t="n"/>
      <c r="F404" s="60" t="n"/>
      <c r="G404" s="61" t="n"/>
      <c r="H404" s="69">
        <f>IF(OR(A404="",C404=""),"",COUNTIFS($A$7:$A$1006,A404,$C$7:$C$1006,"&lt;"&amp;C404)+1)</f>
        <v/>
      </c>
      <c r="I404" s="67">
        <f>IF(H404="","",IF(H404=1,"",C404-_xlfn.MAXIFS($C$7:$C$1006,$A$7:$A$1006,A404,$C$7:$C$1006,"&lt;"&amp;C404)))</f>
        <v/>
      </c>
      <c r="J404" s="68">
        <f>IF(I404="","",I404/TpM)</f>
        <v/>
      </c>
      <c r="K404" s="69">
        <f>IF(H404="","",COUNTIFS($A$7:$A$1006,A404,$C$7:$C$1006,"&gt;0")-H404)</f>
        <v/>
      </c>
      <c r="L404" s="69">
        <f>IF(H404="","",A404&amp;"|"&amp;H404)</f>
        <v/>
      </c>
      <c r="M404" s="69">
        <f>IF(A404="","",IFERROR(INDEX(Bestand!$AC$14:$AC$213,MATCH(A404,Bestand!$A$14:$A$213,0)),0))</f>
        <v/>
      </c>
      <c r="N404" s="69">
        <f>IF(OR(H404="",M404&lt;&gt;1),"",C404+ROW()/100000)</f>
        <v/>
      </c>
    </row>
    <row r="405" ht="20" customHeight="1">
      <c r="A405" s="60" t="n"/>
      <c r="B405" s="65">
        <f>IF(A405="","",IFERROR(INDEX(Bestand!$B$14:$B$213,MATCH(A405,Bestand!$A$14:$A$213,0)),"ID unbekannt"))</f>
        <v/>
      </c>
      <c r="C405" s="63" t="n"/>
      <c r="D405" s="62" t="n"/>
      <c r="E405" s="60" t="n"/>
      <c r="F405" s="60" t="n"/>
      <c r="G405" s="61" t="n"/>
      <c r="H405" s="69">
        <f>IF(OR(A405="",C405=""),"",COUNTIFS($A$7:$A$1006,A405,$C$7:$C$1006,"&lt;"&amp;C405)+1)</f>
        <v/>
      </c>
      <c r="I405" s="67">
        <f>IF(H405="","",IF(H405=1,"",C405-_xlfn.MAXIFS($C$7:$C$1006,$A$7:$A$1006,A405,$C$7:$C$1006,"&lt;"&amp;C405)))</f>
        <v/>
      </c>
      <c r="J405" s="68">
        <f>IF(I405="","",I405/TpM)</f>
        <v/>
      </c>
      <c r="K405" s="69">
        <f>IF(H405="","",COUNTIFS($A$7:$A$1006,A405,$C$7:$C$1006,"&gt;0")-H405)</f>
        <v/>
      </c>
      <c r="L405" s="69">
        <f>IF(H405="","",A405&amp;"|"&amp;H405)</f>
        <v/>
      </c>
      <c r="M405" s="69">
        <f>IF(A405="","",IFERROR(INDEX(Bestand!$AC$14:$AC$213,MATCH(A405,Bestand!$A$14:$A$213,0)),0))</f>
        <v/>
      </c>
      <c r="N405" s="69">
        <f>IF(OR(H405="",M405&lt;&gt;1),"",C405+ROW()/100000)</f>
        <v/>
      </c>
    </row>
    <row r="406" ht="20" customHeight="1">
      <c r="A406" s="60" t="n"/>
      <c r="B406" s="65">
        <f>IF(A406="","",IFERROR(INDEX(Bestand!$B$14:$B$213,MATCH(A406,Bestand!$A$14:$A$213,0)),"ID unbekannt"))</f>
        <v/>
      </c>
      <c r="C406" s="63" t="n"/>
      <c r="D406" s="62" t="n"/>
      <c r="E406" s="60" t="n"/>
      <c r="F406" s="60" t="n"/>
      <c r="G406" s="61" t="n"/>
      <c r="H406" s="69">
        <f>IF(OR(A406="",C406=""),"",COUNTIFS($A$7:$A$1006,A406,$C$7:$C$1006,"&lt;"&amp;C406)+1)</f>
        <v/>
      </c>
      <c r="I406" s="67">
        <f>IF(H406="","",IF(H406=1,"",C406-_xlfn.MAXIFS($C$7:$C$1006,$A$7:$A$1006,A406,$C$7:$C$1006,"&lt;"&amp;C406)))</f>
        <v/>
      </c>
      <c r="J406" s="68">
        <f>IF(I406="","",I406/TpM)</f>
        <v/>
      </c>
      <c r="K406" s="69">
        <f>IF(H406="","",COUNTIFS($A$7:$A$1006,A406,$C$7:$C$1006,"&gt;0")-H406)</f>
        <v/>
      </c>
      <c r="L406" s="69">
        <f>IF(H406="","",A406&amp;"|"&amp;H406)</f>
        <v/>
      </c>
      <c r="M406" s="69">
        <f>IF(A406="","",IFERROR(INDEX(Bestand!$AC$14:$AC$213,MATCH(A406,Bestand!$A$14:$A$213,0)),0))</f>
        <v/>
      </c>
      <c r="N406" s="69">
        <f>IF(OR(H406="",M406&lt;&gt;1),"",C406+ROW()/100000)</f>
        <v/>
      </c>
    </row>
    <row r="407" ht="20" customHeight="1">
      <c r="A407" s="60" t="n"/>
      <c r="B407" s="65">
        <f>IF(A407="","",IFERROR(INDEX(Bestand!$B$14:$B$213,MATCH(A407,Bestand!$A$14:$A$213,0)),"ID unbekannt"))</f>
        <v/>
      </c>
      <c r="C407" s="63" t="n"/>
      <c r="D407" s="62" t="n"/>
      <c r="E407" s="60" t="n"/>
      <c r="F407" s="60" t="n"/>
      <c r="G407" s="61" t="n"/>
      <c r="H407" s="69">
        <f>IF(OR(A407="",C407=""),"",COUNTIFS($A$7:$A$1006,A407,$C$7:$C$1006,"&lt;"&amp;C407)+1)</f>
        <v/>
      </c>
      <c r="I407" s="67">
        <f>IF(H407="","",IF(H407=1,"",C407-_xlfn.MAXIFS($C$7:$C$1006,$A$7:$A$1006,A407,$C$7:$C$1006,"&lt;"&amp;C407)))</f>
        <v/>
      </c>
      <c r="J407" s="68">
        <f>IF(I407="","",I407/TpM)</f>
        <v/>
      </c>
      <c r="K407" s="69">
        <f>IF(H407="","",COUNTIFS($A$7:$A$1006,A407,$C$7:$C$1006,"&gt;0")-H407)</f>
        <v/>
      </c>
      <c r="L407" s="69">
        <f>IF(H407="","",A407&amp;"|"&amp;H407)</f>
        <v/>
      </c>
      <c r="M407" s="69">
        <f>IF(A407="","",IFERROR(INDEX(Bestand!$AC$14:$AC$213,MATCH(A407,Bestand!$A$14:$A$213,0)),0))</f>
        <v/>
      </c>
      <c r="N407" s="69">
        <f>IF(OR(H407="",M407&lt;&gt;1),"",C407+ROW()/100000)</f>
        <v/>
      </c>
    </row>
    <row r="408" ht="20" customHeight="1">
      <c r="A408" s="60" t="n"/>
      <c r="B408" s="65">
        <f>IF(A408="","",IFERROR(INDEX(Bestand!$B$14:$B$213,MATCH(A408,Bestand!$A$14:$A$213,0)),"ID unbekannt"))</f>
        <v/>
      </c>
      <c r="C408" s="63" t="n"/>
      <c r="D408" s="62" t="n"/>
      <c r="E408" s="60" t="n"/>
      <c r="F408" s="60" t="n"/>
      <c r="G408" s="61" t="n"/>
      <c r="H408" s="69">
        <f>IF(OR(A408="",C408=""),"",COUNTIFS($A$7:$A$1006,A408,$C$7:$C$1006,"&lt;"&amp;C408)+1)</f>
        <v/>
      </c>
      <c r="I408" s="67">
        <f>IF(H408="","",IF(H408=1,"",C408-_xlfn.MAXIFS($C$7:$C$1006,$A$7:$A$1006,A408,$C$7:$C$1006,"&lt;"&amp;C408)))</f>
        <v/>
      </c>
      <c r="J408" s="68">
        <f>IF(I408="","",I408/TpM)</f>
        <v/>
      </c>
      <c r="K408" s="69">
        <f>IF(H408="","",COUNTIFS($A$7:$A$1006,A408,$C$7:$C$1006,"&gt;0")-H408)</f>
        <v/>
      </c>
      <c r="L408" s="69">
        <f>IF(H408="","",A408&amp;"|"&amp;H408)</f>
        <v/>
      </c>
      <c r="M408" s="69">
        <f>IF(A408="","",IFERROR(INDEX(Bestand!$AC$14:$AC$213,MATCH(A408,Bestand!$A$14:$A$213,0)),0))</f>
        <v/>
      </c>
      <c r="N408" s="69">
        <f>IF(OR(H408="",M408&lt;&gt;1),"",C408+ROW()/100000)</f>
        <v/>
      </c>
    </row>
    <row r="409" ht="20" customHeight="1">
      <c r="A409" s="60" t="n"/>
      <c r="B409" s="65">
        <f>IF(A409="","",IFERROR(INDEX(Bestand!$B$14:$B$213,MATCH(A409,Bestand!$A$14:$A$213,0)),"ID unbekannt"))</f>
        <v/>
      </c>
      <c r="C409" s="63" t="n"/>
      <c r="D409" s="62" t="n"/>
      <c r="E409" s="60" t="n"/>
      <c r="F409" s="60" t="n"/>
      <c r="G409" s="61" t="n"/>
      <c r="H409" s="69">
        <f>IF(OR(A409="",C409=""),"",COUNTIFS($A$7:$A$1006,A409,$C$7:$C$1006,"&lt;"&amp;C409)+1)</f>
        <v/>
      </c>
      <c r="I409" s="67">
        <f>IF(H409="","",IF(H409=1,"",C409-_xlfn.MAXIFS($C$7:$C$1006,$A$7:$A$1006,A409,$C$7:$C$1006,"&lt;"&amp;C409)))</f>
        <v/>
      </c>
      <c r="J409" s="68">
        <f>IF(I409="","",I409/TpM)</f>
        <v/>
      </c>
      <c r="K409" s="69">
        <f>IF(H409="","",COUNTIFS($A$7:$A$1006,A409,$C$7:$C$1006,"&gt;0")-H409)</f>
        <v/>
      </c>
      <c r="L409" s="69">
        <f>IF(H409="","",A409&amp;"|"&amp;H409)</f>
        <v/>
      </c>
      <c r="M409" s="69">
        <f>IF(A409="","",IFERROR(INDEX(Bestand!$AC$14:$AC$213,MATCH(A409,Bestand!$A$14:$A$213,0)),0))</f>
        <v/>
      </c>
      <c r="N409" s="69">
        <f>IF(OR(H409="",M409&lt;&gt;1),"",C409+ROW()/100000)</f>
        <v/>
      </c>
    </row>
    <row r="410" ht="20" customHeight="1">
      <c r="A410" s="60" t="n"/>
      <c r="B410" s="65">
        <f>IF(A410="","",IFERROR(INDEX(Bestand!$B$14:$B$213,MATCH(A410,Bestand!$A$14:$A$213,0)),"ID unbekannt"))</f>
        <v/>
      </c>
      <c r="C410" s="63" t="n"/>
      <c r="D410" s="62" t="n"/>
      <c r="E410" s="60" t="n"/>
      <c r="F410" s="60" t="n"/>
      <c r="G410" s="61" t="n"/>
      <c r="H410" s="69">
        <f>IF(OR(A410="",C410=""),"",COUNTIFS($A$7:$A$1006,A410,$C$7:$C$1006,"&lt;"&amp;C410)+1)</f>
        <v/>
      </c>
      <c r="I410" s="67">
        <f>IF(H410="","",IF(H410=1,"",C410-_xlfn.MAXIFS($C$7:$C$1006,$A$7:$A$1006,A410,$C$7:$C$1006,"&lt;"&amp;C410)))</f>
        <v/>
      </c>
      <c r="J410" s="68">
        <f>IF(I410="","",I410/TpM)</f>
        <v/>
      </c>
      <c r="K410" s="69">
        <f>IF(H410="","",COUNTIFS($A$7:$A$1006,A410,$C$7:$C$1006,"&gt;0")-H410)</f>
        <v/>
      </c>
      <c r="L410" s="69">
        <f>IF(H410="","",A410&amp;"|"&amp;H410)</f>
        <v/>
      </c>
      <c r="M410" s="69">
        <f>IF(A410="","",IFERROR(INDEX(Bestand!$AC$14:$AC$213,MATCH(A410,Bestand!$A$14:$A$213,0)),0))</f>
        <v/>
      </c>
      <c r="N410" s="69">
        <f>IF(OR(H410="",M410&lt;&gt;1),"",C410+ROW()/100000)</f>
        <v/>
      </c>
    </row>
    <row r="411" ht="20" customHeight="1">
      <c r="A411" s="60" t="n"/>
      <c r="B411" s="65">
        <f>IF(A411="","",IFERROR(INDEX(Bestand!$B$14:$B$213,MATCH(A411,Bestand!$A$14:$A$213,0)),"ID unbekannt"))</f>
        <v/>
      </c>
      <c r="C411" s="63" t="n"/>
      <c r="D411" s="62" t="n"/>
      <c r="E411" s="60" t="n"/>
      <c r="F411" s="60" t="n"/>
      <c r="G411" s="61" t="n"/>
      <c r="H411" s="69">
        <f>IF(OR(A411="",C411=""),"",COUNTIFS($A$7:$A$1006,A411,$C$7:$C$1006,"&lt;"&amp;C411)+1)</f>
        <v/>
      </c>
      <c r="I411" s="67">
        <f>IF(H411="","",IF(H411=1,"",C411-_xlfn.MAXIFS($C$7:$C$1006,$A$7:$A$1006,A411,$C$7:$C$1006,"&lt;"&amp;C411)))</f>
        <v/>
      </c>
      <c r="J411" s="68">
        <f>IF(I411="","",I411/TpM)</f>
        <v/>
      </c>
      <c r="K411" s="69">
        <f>IF(H411="","",COUNTIFS($A$7:$A$1006,A411,$C$7:$C$1006,"&gt;0")-H411)</f>
        <v/>
      </c>
      <c r="L411" s="69">
        <f>IF(H411="","",A411&amp;"|"&amp;H411)</f>
        <v/>
      </c>
      <c r="M411" s="69">
        <f>IF(A411="","",IFERROR(INDEX(Bestand!$AC$14:$AC$213,MATCH(A411,Bestand!$A$14:$A$213,0)),0))</f>
        <v/>
      </c>
      <c r="N411" s="69">
        <f>IF(OR(H411="",M411&lt;&gt;1),"",C411+ROW()/100000)</f>
        <v/>
      </c>
    </row>
    <row r="412" ht="20" customHeight="1">
      <c r="A412" s="60" t="n"/>
      <c r="B412" s="65">
        <f>IF(A412="","",IFERROR(INDEX(Bestand!$B$14:$B$213,MATCH(A412,Bestand!$A$14:$A$213,0)),"ID unbekannt"))</f>
        <v/>
      </c>
      <c r="C412" s="63" t="n"/>
      <c r="D412" s="62" t="n"/>
      <c r="E412" s="60" t="n"/>
      <c r="F412" s="60" t="n"/>
      <c r="G412" s="61" t="n"/>
      <c r="H412" s="69">
        <f>IF(OR(A412="",C412=""),"",COUNTIFS($A$7:$A$1006,A412,$C$7:$C$1006,"&lt;"&amp;C412)+1)</f>
        <v/>
      </c>
      <c r="I412" s="67">
        <f>IF(H412="","",IF(H412=1,"",C412-_xlfn.MAXIFS($C$7:$C$1006,$A$7:$A$1006,A412,$C$7:$C$1006,"&lt;"&amp;C412)))</f>
        <v/>
      </c>
      <c r="J412" s="68">
        <f>IF(I412="","",I412/TpM)</f>
        <v/>
      </c>
      <c r="K412" s="69">
        <f>IF(H412="","",COUNTIFS($A$7:$A$1006,A412,$C$7:$C$1006,"&gt;0")-H412)</f>
        <v/>
      </c>
      <c r="L412" s="69">
        <f>IF(H412="","",A412&amp;"|"&amp;H412)</f>
        <v/>
      </c>
      <c r="M412" s="69">
        <f>IF(A412="","",IFERROR(INDEX(Bestand!$AC$14:$AC$213,MATCH(A412,Bestand!$A$14:$A$213,0)),0))</f>
        <v/>
      </c>
      <c r="N412" s="69">
        <f>IF(OR(H412="",M412&lt;&gt;1),"",C412+ROW()/100000)</f>
        <v/>
      </c>
    </row>
    <row r="413" ht="20" customHeight="1">
      <c r="A413" s="60" t="n"/>
      <c r="B413" s="65">
        <f>IF(A413="","",IFERROR(INDEX(Bestand!$B$14:$B$213,MATCH(A413,Bestand!$A$14:$A$213,0)),"ID unbekannt"))</f>
        <v/>
      </c>
      <c r="C413" s="63" t="n"/>
      <c r="D413" s="62" t="n"/>
      <c r="E413" s="60" t="n"/>
      <c r="F413" s="60" t="n"/>
      <c r="G413" s="61" t="n"/>
      <c r="H413" s="69">
        <f>IF(OR(A413="",C413=""),"",COUNTIFS($A$7:$A$1006,A413,$C$7:$C$1006,"&lt;"&amp;C413)+1)</f>
        <v/>
      </c>
      <c r="I413" s="67">
        <f>IF(H413="","",IF(H413=1,"",C413-_xlfn.MAXIFS($C$7:$C$1006,$A$7:$A$1006,A413,$C$7:$C$1006,"&lt;"&amp;C413)))</f>
        <v/>
      </c>
      <c r="J413" s="68">
        <f>IF(I413="","",I413/TpM)</f>
        <v/>
      </c>
      <c r="K413" s="69">
        <f>IF(H413="","",COUNTIFS($A$7:$A$1006,A413,$C$7:$C$1006,"&gt;0")-H413)</f>
        <v/>
      </c>
      <c r="L413" s="69">
        <f>IF(H413="","",A413&amp;"|"&amp;H413)</f>
        <v/>
      </c>
      <c r="M413" s="69">
        <f>IF(A413="","",IFERROR(INDEX(Bestand!$AC$14:$AC$213,MATCH(A413,Bestand!$A$14:$A$213,0)),0))</f>
        <v/>
      </c>
      <c r="N413" s="69">
        <f>IF(OR(H413="",M413&lt;&gt;1),"",C413+ROW()/100000)</f>
        <v/>
      </c>
    </row>
    <row r="414" ht="20" customHeight="1">
      <c r="A414" s="60" t="n"/>
      <c r="B414" s="65">
        <f>IF(A414="","",IFERROR(INDEX(Bestand!$B$14:$B$213,MATCH(A414,Bestand!$A$14:$A$213,0)),"ID unbekannt"))</f>
        <v/>
      </c>
      <c r="C414" s="63" t="n"/>
      <c r="D414" s="62" t="n"/>
      <c r="E414" s="60" t="n"/>
      <c r="F414" s="60" t="n"/>
      <c r="G414" s="61" t="n"/>
      <c r="H414" s="69">
        <f>IF(OR(A414="",C414=""),"",COUNTIFS($A$7:$A$1006,A414,$C$7:$C$1006,"&lt;"&amp;C414)+1)</f>
        <v/>
      </c>
      <c r="I414" s="67">
        <f>IF(H414="","",IF(H414=1,"",C414-_xlfn.MAXIFS($C$7:$C$1006,$A$7:$A$1006,A414,$C$7:$C$1006,"&lt;"&amp;C414)))</f>
        <v/>
      </c>
      <c r="J414" s="68">
        <f>IF(I414="","",I414/TpM)</f>
        <v/>
      </c>
      <c r="K414" s="69">
        <f>IF(H414="","",COUNTIFS($A$7:$A$1006,A414,$C$7:$C$1006,"&gt;0")-H414)</f>
        <v/>
      </c>
      <c r="L414" s="69">
        <f>IF(H414="","",A414&amp;"|"&amp;H414)</f>
        <v/>
      </c>
      <c r="M414" s="69">
        <f>IF(A414="","",IFERROR(INDEX(Bestand!$AC$14:$AC$213,MATCH(A414,Bestand!$A$14:$A$213,0)),0))</f>
        <v/>
      </c>
      <c r="N414" s="69">
        <f>IF(OR(H414="",M414&lt;&gt;1),"",C414+ROW()/100000)</f>
        <v/>
      </c>
    </row>
    <row r="415" ht="20" customHeight="1">
      <c r="A415" s="60" t="n"/>
      <c r="B415" s="65">
        <f>IF(A415="","",IFERROR(INDEX(Bestand!$B$14:$B$213,MATCH(A415,Bestand!$A$14:$A$213,0)),"ID unbekannt"))</f>
        <v/>
      </c>
      <c r="C415" s="63" t="n"/>
      <c r="D415" s="62" t="n"/>
      <c r="E415" s="60" t="n"/>
      <c r="F415" s="60" t="n"/>
      <c r="G415" s="61" t="n"/>
      <c r="H415" s="69">
        <f>IF(OR(A415="",C415=""),"",COUNTIFS($A$7:$A$1006,A415,$C$7:$C$1006,"&lt;"&amp;C415)+1)</f>
        <v/>
      </c>
      <c r="I415" s="67">
        <f>IF(H415="","",IF(H415=1,"",C415-_xlfn.MAXIFS($C$7:$C$1006,$A$7:$A$1006,A415,$C$7:$C$1006,"&lt;"&amp;C415)))</f>
        <v/>
      </c>
      <c r="J415" s="68">
        <f>IF(I415="","",I415/TpM)</f>
        <v/>
      </c>
      <c r="K415" s="69">
        <f>IF(H415="","",COUNTIFS($A$7:$A$1006,A415,$C$7:$C$1006,"&gt;0")-H415)</f>
        <v/>
      </c>
      <c r="L415" s="69">
        <f>IF(H415="","",A415&amp;"|"&amp;H415)</f>
        <v/>
      </c>
      <c r="M415" s="69">
        <f>IF(A415="","",IFERROR(INDEX(Bestand!$AC$14:$AC$213,MATCH(A415,Bestand!$A$14:$A$213,0)),0))</f>
        <v/>
      </c>
      <c r="N415" s="69">
        <f>IF(OR(H415="",M415&lt;&gt;1),"",C415+ROW()/100000)</f>
        <v/>
      </c>
    </row>
    <row r="416" ht="20" customHeight="1">
      <c r="A416" s="60" t="n"/>
      <c r="B416" s="65">
        <f>IF(A416="","",IFERROR(INDEX(Bestand!$B$14:$B$213,MATCH(A416,Bestand!$A$14:$A$213,0)),"ID unbekannt"))</f>
        <v/>
      </c>
      <c r="C416" s="63" t="n"/>
      <c r="D416" s="62" t="n"/>
      <c r="E416" s="60" t="n"/>
      <c r="F416" s="60" t="n"/>
      <c r="G416" s="61" t="n"/>
      <c r="H416" s="69">
        <f>IF(OR(A416="",C416=""),"",COUNTIFS($A$7:$A$1006,A416,$C$7:$C$1006,"&lt;"&amp;C416)+1)</f>
        <v/>
      </c>
      <c r="I416" s="67">
        <f>IF(H416="","",IF(H416=1,"",C416-_xlfn.MAXIFS($C$7:$C$1006,$A$7:$A$1006,A416,$C$7:$C$1006,"&lt;"&amp;C416)))</f>
        <v/>
      </c>
      <c r="J416" s="68">
        <f>IF(I416="","",I416/TpM)</f>
        <v/>
      </c>
      <c r="K416" s="69">
        <f>IF(H416="","",COUNTIFS($A$7:$A$1006,A416,$C$7:$C$1006,"&gt;0")-H416)</f>
        <v/>
      </c>
      <c r="L416" s="69">
        <f>IF(H416="","",A416&amp;"|"&amp;H416)</f>
        <v/>
      </c>
      <c r="M416" s="69">
        <f>IF(A416="","",IFERROR(INDEX(Bestand!$AC$14:$AC$213,MATCH(A416,Bestand!$A$14:$A$213,0)),0))</f>
        <v/>
      </c>
      <c r="N416" s="69">
        <f>IF(OR(H416="",M416&lt;&gt;1),"",C416+ROW()/100000)</f>
        <v/>
      </c>
    </row>
    <row r="417" ht="20" customHeight="1">
      <c r="A417" s="60" t="n"/>
      <c r="B417" s="65">
        <f>IF(A417="","",IFERROR(INDEX(Bestand!$B$14:$B$213,MATCH(A417,Bestand!$A$14:$A$213,0)),"ID unbekannt"))</f>
        <v/>
      </c>
      <c r="C417" s="63" t="n"/>
      <c r="D417" s="62" t="n"/>
      <c r="E417" s="60" t="n"/>
      <c r="F417" s="60" t="n"/>
      <c r="G417" s="61" t="n"/>
      <c r="H417" s="69">
        <f>IF(OR(A417="",C417=""),"",COUNTIFS($A$7:$A$1006,A417,$C$7:$C$1006,"&lt;"&amp;C417)+1)</f>
        <v/>
      </c>
      <c r="I417" s="67">
        <f>IF(H417="","",IF(H417=1,"",C417-_xlfn.MAXIFS($C$7:$C$1006,$A$7:$A$1006,A417,$C$7:$C$1006,"&lt;"&amp;C417)))</f>
        <v/>
      </c>
      <c r="J417" s="68">
        <f>IF(I417="","",I417/TpM)</f>
        <v/>
      </c>
      <c r="K417" s="69">
        <f>IF(H417="","",COUNTIFS($A$7:$A$1006,A417,$C$7:$C$1006,"&gt;0")-H417)</f>
        <v/>
      </c>
      <c r="L417" s="69">
        <f>IF(H417="","",A417&amp;"|"&amp;H417)</f>
        <v/>
      </c>
      <c r="M417" s="69">
        <f>IF(A417="","",IFERROR(INDEX(Bestand!$AC$14:$AC$213,MATCH(A417,Bestand!$A$14:$A$213,0)),0))</f>
        <v/>
      </c>
      <c r="N417" s="69">
        <f>IF(OR(H417="",M417&lt;&gt;1),"",C417+ROW()/100000)</f>
        <v/>
      </c>
    </row>
    <row r="418" ht="20" customHeight="1">
      <c r="A418" s="60" t="n"/>
      <c r="B418" s="65">
        <f>IF(A418="","",IFERROR(INDEX(Bestand!$B$14:$B$213,MATCH(A418,Bestand!$A$14:$A$213,0)),"ID unbekannt"))</f>
        <v/>
      </c>
      <c r="C418" s="63" t="n"/>
      <c r="D418" s="62" t="n"/>
      <c r="E418" s="60" t="n"/>
      <c r="F418" s="60" t="n"/>
      <c r="G418" s="61" t="n"/>
      <c r="H418" s="69">
        <f>IF(OR(A418="",C418=""),"",COUNTIFS($A$7:$A$1006,A418,$C$7:$C$1006,"&lt;"&amp;C418)+1)</f>
        <v/>
      </c>
      <c r="I418" s="67">
        <f>IF(H418="","",IF(H418=1,"",C418-_xlfn.MAXIFS($C$7:$C$1006,$A$7:$A$1006,A418,$C$7:$C$1006,"&lt;"&amp;C418)))</f>
        <v/>
      </c>
      <c r="J418" s="68">
        <f>IF(I418="","",I418/TpM)</f>
        <v/>
      </c>
      <c r="K418" s="69">
        <f>IF(H418="","",COUNTIFS($A$7:$A$1006,A418,$C$7:$C$1006,"&gt;0")-H418)</f>
        <v/>
      </c>
      <c r="L418" s="69">
        <f>IF(H418="","",A418&amp;"|"&amp;H418)</f>
        <v/>
      </c>
      <c r="M418" s="69">
        <f>IF(A418="","",IFERROR(INDEX(Bestand!$AC$14:$AC$213,MATCH(A418,Bestand!$A$14:$A$213,0)),0))</f>
        <v/>
      </c>
      <c r="N418" s="69">
        <f>IF(OR(H418="",M418&lt;&gt;1),"",C418+ROW()/100000)</f>
        <v/>
      </c>
    </row>
    <row r="419" ht="20" customHeight="1">
      <c r="A419" s="60" t="n"/>
      <c r="B419" s="65">
        <f>IF(A419="","",IFERROR(INDEX(Bestand!$B$14:$B$213,MATCH(A419,Bestand!$A$14:$A$213,0)),"ID unbekannt"))</f>
        <v/>
      </c>
      <c r="C419" s="63" t="n"/>
      <c r="D419" s="62" t="n"/>
      <c r="E419" s="60" t="n"/>
      <c r="F419" s="60" t="n"/>
      <c r="G419" s="61" t="n"/>
      <c r="H419" s="69">
        <f>IF(OR(A419="",C419=""),"",COUNTIFS($A$7:$A$1006,A419,$C$7:$C$1006,"&lt;"&amp;C419)+1)</f>
        <v/>
      </c>
      <c r="I419" s="67">
        <f>IF(H419="","",IF(H419=1,"",C419-_xlfn.MAXIFS($C$7:$C$1006,$A$7:$A$1006,A419,$C$7:$C$1006,"&lt;"&amp;C419)))</f>
        <v/>
      </c>
      <c r="J419" s="68">
        <f>IF(I419="","",I419/TpM)</f>
        <v/>
      </c>
      <c r="K419" s="69">
        <f>IF(H419="","",COUNTIFS($A$7:$A$1006,A419,$C$7:$C$1006,"&gt;0")-H419)</f>
        <v/>
      </c>
      <c r="L419" s="69">
        <f>IF(H419="","",A419&amp;"|"&amp;H419)</f>
        <v/>
      </c>
      <c r="M419" s="69">
        <f>IF(A419="","",IFERROR(INDEX(Bestand!$AC$14:$AC$213,MATCH(A419,Bestand!$A$14:$A$213,0)),0))</f>
        <v/>
      </c>
      <c r="N419" s="69">
        <f>IF(OR(H419="",M419&lt;&gt;1),"",C419+ROW()/100000)</f>
        <v/>
      </c>
    </row>
    <row r="420" ht="20" customHeight="1">
      <c r="A420" s="60" t="n"/>
      <c r="B420" s="65">
        <f>IF(A420="","",IFERROR(INDEX(Bestand!$B$14:$B$213,MATCH(A420,Bestand!$A$14:$A$213,0)),"ID unbekannt"))</f>
        <v/>
      </c>
      <c r="C420" s="63" t="n"/>
      <c r="D420" s="62" t="n"/>
      <c r="E420" s="60" t="n"/>
      <c r="F420" s="60" t="n"/>
      <c r="G420" s="61" t="n"/>
      <c r="H420" s="69">
        <f>IF(OR(A420="",C420=""),"",COUNTIFS($A$7:$A$1006,A420,$C$7:$C$1006,"&lt;"&amp;C420)+1)</f>
        <v/>
      </c>
      <c r="I420" s="67">
        <f>IF(H420="","",IF(H420=1,"",C420-_xlfn.MAXIFS($C$7:$C$1006,$A$7:$A$1006,A420,$C$7:$C$1006,"&lt;"&amp;C420)))</f>
        <v/>
      </c>
      <c r="J420" s="68">
        <f>IF(I420="","",I420/TpM)</f>
        <v/>
      </c>
      <c r="K420" s="69">
        <f>IF(H420="","",COUNTIFS($A$7:$A$1006,A420,$C$7:$C$1006,"&gt;0")-H420)</f>
        <v/>
      </c>
      <c r="L420" s="69">
        <f>IF(H420="","",A420&amp;"|"&amp;H420)</f>
        <v/>
      </c>
      <c r="M420" s="69">
        <f>IF(A420="","",IFERROR(INDEX(Bestand!$AC$14:$AC$213,MATCH(A420,Bestand!$A$14:$A$213,0)),0))</f>
        <v/>
      </c>
      <c r="N420" s="69">
        <f>IF(OR(H420="",M420&lt;&gt;1),"",C420+ROW()/100000)</f>
        <v/>
      </c>
    </row>
    <row r="421" ht="20" customHeight="1">
      <c r="A421" s="60" t="n"/>
      <c r="B421" s="65">
        <f>IF(A421="","",IFERROR(INDEX(Bestand!$B$14:$B$213,MATCH(A421,Bestand!$A$14:$A$213,0)),"ID unbekannt"))</f>
        <v/>
      </c>
      <c r="C421" s="63" t="n"/>
      <c r="D421" s="62" t="n"/>
      <c r="E421" s="60" t="n"/>
      <c r="F421" s="60" t="n"/>
      <c r="G421" s="61" t="n"/>
      <c r="H421" s="69">
        <f>IF(OR(A421="",C421=""),"",COUNTIFS($A$7:$A$1006,A421,$C$7:$C$1006,"&lt;"&amp;C421)+1)</f>
        <v/>
      </c>
      <c r="I421" s="67">
        <f>IF(H421="","",IF(H421=1,"",C421-_xlfn.MAXIFS($C$7:$C$1006,$A$7:$A$1006,A421,$C$7:$C$1006,"&lt;"&amp;C421)))</f>
        <v/>
      </c>
      <c r="J421" s="68">
        <f>IF(I421="","",I421/TpM)</f>
        <v/>
      </c>
      <c r="K421" s="69">
        <f>IF(H421="","",COUNTIFS($A$7:$A$1006,A421,$C$7:$C$1006,"&gt;0")-H421)</f>
        <v/>
      </c>
      <c r="L421" s="69">
        <f>IF(H421="","",A421&amp;"|"&amp;H421)</f>
        <v/>
      </c>
      <c r="M421" s="69">
        <f>IF(A421="","",IFERROR(INDEX(Bestand!$AC$14:$AC$213,MATCH(A421,Bestand!$A$14:$A$213,0)),0))</f>
        <v/>
      </c>
      <c r="N421" s="69">
        <f>IF(OR(H421="",M421&lt;&gt;1),"",C421+ROW()/100000)</f>
        <v/>
      </c>
    </row>
    <row r="422" ht="20" customHeight="1">
      <c r="A422" s="60" t="n"/>
      <c r="B422" s="65">
        <f>IF(A422="","",IFERROR(INDEX(Bestand!$B$14:$B$213,MATCH(A422,Bestand!$A$14:$A$213,0)),"ID unbekannt"))</f>
        <v/>
      </c>
      <c r="C422" s="63" t="n"/>
      <c r="D422" s="62" t="n"/>
      <c r="E422" s="60" t="n"/>
      <c r="F422" s="60" t="n"/>
      <c r="G422" s="61" t="n"/>
      <c r="H422" s="69">
        <f>IF(OR(A422="",C422=""),"",COUNTIFS($A$7:$A$1006,A422,$C$7:$C$1006,"&lt;"&amp;C422)+1)</f>
        <v/>
      </c>
      <c r="I422" s="67">
        <f>IF(H422="","",IF(H422=1,"",C422-_xlfn.MAXIFS($C$7:$C$1006,$A$7:$A$1006,A422,$C$7:$C$1006,"&lt;"&amp;C422)))</f>
        <v/>
      </c>
      <c r="J422" s="68">
        <f>IF(I422="","",I422/TpM)</f>
        <v/>
      </c>
      <c r="K422" s="69">
        <f>IF(H422="","",COUNTIFS($A$7:$A$1006,A422,$C$7:$C$1006,"&gt;0")-H422)</f>
        <v/>
      </c>
      <c r="L422" s="69">
        <f>IF(H422="","",A422&amp;"|"&amp;H422)</f>
        <v/>
      </c>
      <c r="M422" s="69">
        <f>IF(A422="","",IFERROR(INDEX(Bestand!$AC$14:$AC$213,MATCH(A422,Bestand!$A$14:$A$213,0)),0))</f>
        <v/>
      </c>
      <c r="N422" s="69">
        <f>IF(OR(H422="",M422&lt;&gt;1),"",C422+ROW()/100000)</f>
        <v/>
      </c>
    </row>
    <row r="423" ht="20" customHeight="1">
      <c r="A423" s="60" t="n"/>
      <c r="B423" s="65">
        <f>IF(A423="","",IFERROR(INDEX(Bestand!$B$14:$B$213,MATCH(A423,Bestand!$A$14:$A$213,0)),"ID unbekannt"))</f>
        <v/>
      </c>
      <c r="C423" s="63" t="n"/>
      <c r="D423" s="62" t="n"/>
      <c r="E423" s="60" t="n"/>
      <c r="F423" s="60" t="n"/>
      <c r="G423" s="61" t="n"/>
      <c r="H423" s="69">
        <f>IF(OR(A423="",C423=""),"",COUNTIFS($A$7:$A$1006,A423,$C$7:$C$1006,"&lt;"&amp;C423)+1)</f>
        <v/>
      </c>
      <c r="I423" s="67">
        <f>IF(H423="","",IF(H423=1,"",C423-_xlfn.MAXIFS($C$7:$C$1006,$A$7:$A$1006,A423,$C$7:$C$1006,"&lt;"&amp;C423)))</f>
        <v/>
      </c>
      <c r="J423" s="68">
        <f>IF(I423="","",I423/TpM)</f>
        <v/>
      </c>
      <c r="K423" s="69">
        <f>IF(H423="","",COUNTIFS($A$7:$A$1006,A423,$C$7:$C$1006,"&gt;0")-H423)</f>
        <v/>
      </c>
      <c r="L423" s="69">
        <f>IF(H423="","",A423&amp;"|"&amp;H423)</f>
        <v/>
      </c>
      <c r="M423" s="69">
        <f>IF(A423="","",IFERROR(INDEX(Bestand!$AC$14:$AC$213,MATCH(A423,Bestand!$A$14:$A$213,0)),0))</f>
        <v/>
      </c>
      <c r="N423" s="69">
        <f>IF(OR(H423="",M423&lt;&gt;1),"",C423+ROW()/100000)</f>
        <v/>
      </c>
    </row>
    <row r="424" ht="20" customHeight="1">
      <c r="A424" s="60" t="n"/>
      <c r="B424" s="65">
        <f>IF(A424="","",IFERROR(INDEX(Bestand!$B$14:$B$213,MATCH(A424,Bestand!$A$14:$A$213,0)),"ID unbekannt"))</f>
        <v/>
      </c>
      <c r="C424" s="63" t="n"/>
      <c r="D424" s="62" t="n"/>
      <c r="E424" s="60" t="n"/>
      <c r="F424" s="60" t="n"/>
      <c r="G424" s="61" t="n"/>
      <c r="H424" s="69">
        <f>IF(OR(A424="",C424=""),"",COUNTIFS($A$7:$A$1006,A424,$C$7:$C$1006,"&lt;"&amp;C424)+1)</f>
        <v/>
      </c>
      <c r="I424" s="67">
        <f>IF(H424="","",IF(H424=1,"",C424-_xlfn.MAXIFS($C$7:$C$1006,$A$7:$A$1006,A424,$C$7:$C$1006,"&lt;"&amp;C424)))</f>
        <v/>
      </c>
      <c r="J424" s="68">
        <f>IF(I424="","",I424/TpM)</f>
        <v/>
      </c>
      <c r="K424" s="69">
        <f>IF(H424="","",COUNTIFS($A$7:$A$1006,A424,$C$7:$C$1006,"&gt;0")-H424)</f>
        <v/>
      </c>
      <c r="L424" s="69">
        <f>IF(H424="","",A424&amp;"|"&amp;H424)</f>
        <v/>
      </c>
      <c r="M424" s="69">
        <f>IF(A424="","",IFERROR(INDEX(Bestand!$AC$14:$AC$213,MATCH(A424,Bestand!$A$14:$A$213,0)),0))</f>
        <v/>
      </c>
      <c r="N424" s="69">
        <f>IF(OR(H424="",M424&lt;&gt;1),"",C424+ROW()/100000)</f>
        <v/>
      </c>
    </row>
    <row r="425" ht="20" customHeight="1">
      <c r="A425" s="60" t="n"/>
      <c r="B425" s="65">
        <f>IF(A425="","",IFERROR(INDEX(Bestand!$B$14:$B$213,MATCH(A425,Bestand!$A$14:$A$213,0)),"ID unbekannt"))</f>
        <v/>
      </c>
      <c r="C425" s="63" t="n"/>
      <c r="D425" s="62" t="n"/>
      <c r="E425" s="60" t="n"/>
      <c r="F425" s="60" t="n"/>
      <c r="G425" s="61" t="n"/>
      <c r="H425" s="69">
        <f>IF(OR(A425="",C425=""),"",COUNTIFS($A$7:$A$1006,A425,$C$7:$C$1006,"&lt;"&amp;C425)+1)</f>
        <v/>
      </c>
      <c r="I425" s="67">
        <f>IF(H425="","",IF(H425=1,"",C425-_xlfn.MAXIFS($C$7:$C$1006,$A$7:$A$1006,A425,$C$7:$C$1006,"&lt;"&amp;C425)))</f>
        <v/>
      </c>
      <c r="J425" s="68">
        <f>IF(I425="","",I425/TpM)</f>
        <v/>
      </c>
      <c r="K425" s="69">
        <f>IF(H425="","",COUNTIFS($A$7:$A$1006,A425,$C$7:$C$1006,"&gt;0")-H425)</f>
        <v/>
      </c>
      <c r="L425" s="69">
        <f>IF(H425="","",A425&amp;"|"&amp;H425)</f>
        <v/>
      </c>
      <c r="M425" s="69">
        <f>IF(A425="","",IFERROR(INDEX(Bestand!$AC$14:$AC$213,MATCH(A425,Bestand!$A$14:$A$213,0)),0))</f>
        <v/>
      </c>
      <c r="N425" s="69">
        <f>IF(OR(H425="",M425&lt;&gt;1),"",C425+ROW()/100000)</f>
        <v/>
      </c>
    </row>
    <row r="426" ht="20" customHeight="1">
      <c r="A426" s="60" t="n"/>
      <c r="B426" s="65">
        <f>IF(A426="","",IFERROR(INDEX(Bestand!$B$14:$B$213,MATCH(A426,Bestand!$A$14:$A$213,0)),"ID unbekannt"))</f>
        <v/>
      </c>
      <c r="C426" s="63" t="n"/>
      <c r="D426" s="62" t="n"/>
      <c r="E426" s="60" t="n"/>
      <c r="F426" s="60" t="n"/>
      <c r="G426" s="61" t="n"/>
      <c r="H426" s="69">
        <f>IF(OR(A426="",C426=""),"",COUNTIFS($A$7:$A$1006,A426,$C$7:$C$1006,"&lt;"&amp;C426)+1)</f>
        <v/>
      </c>
      <c r="I426" s="67">
        <f>IF(H426="","",IF(H426=1,"",C426-_xlfn.MAXIFS($C$7:$C$1006,$A$7:$A$1006,A426,$C$7:$C$1006,"&lt;"&amp;C426)))</f>
        <v/>
      </c>
      <c r="J426" s="68">
        <f>IF(I426="","",I426/TpM)</f>
        <v/>
      </c>
      <c r="K426" s="69">
        <f>IF(H426="","",COUNTIFS($A$7:$A$1006,A426,$C$7:$C$1006,"&gt;0")-H426)</f>
        <v/>
      </c>
      <c r="L426" s="69">
        <f>IF(H426="","",A426&amp;"|"&amp;H426)</f>
        <v/>
      </c>
      <c r="M426" s="69">
        <f>IF(A426="","",IFERROR(INDEX(Bestand!$AC$14:$AC$213,MATCH(A426,Bestand!$A$14:$A$213,0)),0))</f>
        <v/>
      </c>
      <c r="N426" s="69">
        <f>IF(OR(H426="",M426&lt;&gt;1),"",C426+ROW()/100000)</f>
        <v/>
      </c>
    </row>
    <row r="427" ht="20" customHeight="1">
      <c r="A427" s="60" t="n"/>
      <c r="B427" s="65">
        <f>IF(A427="","",IFERROR(INDEX(Bestand!$B$14:$B$213,MATCH(A427,Bestand!$A$14:$A$213,0)),"ID unbekannt"))</f>
        <v/>
      </c>
      <c r="C427" s="63" t="n"/>
      <c r="D427" s="62" t="n"/>
      <c r="E427" s="60" t="n"/>
      <c r="F427" s="60" t="n"/>
      <c r="G427" s="61" t="n"/>
      <c r="H427" s="69">
        <f>IF(OR(A427="",C427=""),"",COUNTIFS($A$7:$A$1006,A427,$C$7:$C$1006,"&lt;"&amp;C427)+1)</f>
        <v/>
      </c>
      <c r="I427" s="67">
        <f>IF(H427="","",IF(H427=1,"",C427-_xlfn.MAXIFS($C$7:$C$1006,$A$7:$A$1006,A427,$C$7:$C$1006,"&lt;"&amp;C427)))</f>
        <v/>
      </c>
      <c r="J427" s="68">
        <f>IF(I427="","",I427/TpM)</f>
        <v/>
      </c>
      <c r="K427" s="69">
        <f>IF(H427="","",COUNTIFS($A$7:$A$1006,A427,$C$7:$C$1006,"&gt;0")-H427)</f>
        <v/>
      </c>
      <c r="L427" s="69">
        <f>IF(H427="","",A427&amp;"|"&amp;H427)</f>
        <v/>
      </c>
      <c r="M427" s="69">
        <f>IF(A427="","",IFERROR(INDEX(Bestand!$AC$14:$AC$213,MATCH(A427,Bestand!$A$14:$A$213,0)),0))</f>
        <v/>
      </c>
      <c r="N427" s="69">
        <f>IF(OR(H427="",M427&lt;&gt;1),"",C427+ROW()/100000)</f>
        <v/>
      </c>
    </row>
    <row r="428" ht="20" customHeight="1">
      <c r="A428" s="60" t="n"/>
      <c r="B428" s="65">
        <f>IF(A428="","",IFERROR(INDEX(Bestand!$B$14:$B$213,MATCH(A428,Bestand!$A$14:$A$213,0)),"ID unbekannt"))</f>
        <v/>
      </c>
      <c r="C428" s="63" t="n"/>
      <c r="D428" s="62" t="n"/>
      <c r="E428" s="60" t="n"/>
      <c r="F428" s="60" t="n"/>
      <c r="G428" s="61" t="n"/>
      <c r="H428" s="69">
        <f>IF(OR(A428="",C428=""),"",COUNTIFS($A$7:$A$1006,A428,$C$7:$C$1006,"&lt;"&amp;C428)+1)</f>
        <v/>
      </c>
      <c r="I428" s="67">
        <f>IF(H428="","",IF(H428=1,"",C428-_xlfn.MAXIFS($C$7:$C$1006,$A$7:$A$1006,A428,$C$7:$C$1006,"&lt;"&amp;C428)))</f>
        <v/>
      </c>
      <c r="J428" s="68">
        <f>IF(I428="","",I428/TpM)</f>
        <v/>
      </c>
      <c r="K428" s="69">
        <f>IF(H428="","",COUNTIFS($A$7:$A$1006,A428,$C$7:$C$1006,"&gt;0")-H428)</f>
        <v/>
      </c>
      <c r="L428" s="69">
        <f>IF(H428="","",A428&amp;"|"&amp;H428)</f>
        <v/>
      </c>
      <c r="M428" s="69">
        <f>IF(A428="","",IFERROR(INDEX(Bestand!$AC$14:$AC$213,MATCH(A428,Bestand!$A$14:$A$213,0)),0))</f>
        <v/>
      </c>
      <c r="N428" s="69">
        <f>IF(OR(H428="",M428&lt;&gt;1),"",C428+ROW()/100000)</f>
        <v/>
      </c>
    </row>
    <row r="429" ht="20" customHeight="1">
      <c r="A429" s="60" t="n"/>
      <c r="B429" s="65">
        <f>IF(A429="","",IFERROR(INDEX(Bestand!$B$14:$B$213,MATCH(A429,Bestand!$A$14:$A$213,0)),"ID unbekannt"))</f>
        <v/>
      </c>
      <c r="C429" s="63" t="n"/>
      <c r="D429" s="62" t="n"/>
      <c r="E429" s="60" t="n"/>
      <c r="F429" s="60" t="n"/>
      <c r="G429" s="61" t="n"/>
      <c r="H429" s="69">
        <f>IF(OR(A429="",C429=""),"",COUNTIFS($A$7:$A$1006,A429,$C$7:$C$1006,"&lt;"&amp;C429)+1)</f>
        <v/>
      </c>
      <c r="I429" s="67">
        <f>IF(H429="","",IF(H429=1,"",C429-_xlfn.MAXIFS($C$7:$C$1006,$A$7:$A$1006,A429,$C$7:$C$1006,"&lt;"&amp;C429)))</f>
        <v/>
      </c>
      <c r="J429" s="68">
        <f>IF(I429="","",I429/TpM)</f>
        <v/>
      </c>
      <c r="K429" s="69">
        <f>IF(H429="","",COUNTIFS($A$7:$A$1006,A429,$C$7:$C$1006,"&gt;0")-H429)</f>
        <v/>
      </c>
      <c r="L429" s="69">
        <f>IF(H429="","",A429&amp;"|"&amp;H429)</f>
        <v/>
      </c>
      <c r="M429" s="69">
        <f>IF(A429="","",IFERROR(INDEX(Bestand!$AC$14:$AC$213,MATCH(A429,Bestand!$A$14:$A$213,0)),0))</f>
        <v/>
      </c>
      <c r="N429" s="69">
        <f>IF(OR(H429="",M429&lt;&gt;1),"",C429+ROW()/100000)</f>
        <v/>
      </c>
    </row>
    <row r="430" ht="20" customHeight="1">
      <c r="A430" s="60" t="n"/>
      <c r="B430" s="65">
        <f>IF(A430="","",IFERROR(INDEX(Bestand!$B$14:$B$213,MATCH(A430,Bestand!$A$14:$A$213,0)),"ID unbekannt"))</f>
        <v/>
      </c>
      <c r="C430" s="63" t="n"/>
      <c r="D430" s="62" t="n"/>
      <c r="E430" s="60" t="n"/>
      <c r="F430" s="60" t="n"/>
      <c r="G430" s="61" t="n"/>
      <c r="H430" s="69">
        <f>IF(OR(A430="",C430=""),"",COUNTIFS($A$7:$A$1006,A430,$C$7:$C$1006,"&lt;"&amp;C430)+1)</f>
        <v/>
      </c>
      <c r="I430" s="67">
        <f>IF(H430="","",IF(H430=1,"",C430-_xlfn.MAXIFS($C$7:$C$1006,$A$7:$A$1006,A430,$C$7:$C$1006,"&lt;"&amp;C430)))</f>
        <v/>
      </c>
      <c r="J430" s="68">
        <f>IF(I430="","",I430/TpM)</f>
        <v/>
      </c>
      <c r="K430" s="69">
        <f>IF(H430="","",COUNTIFS($A$7:$A$1006,A430,$C$7:$C$1006,"&gt;0")-H430)</f>
        <v/>
      </c>
      <c r="L430" s="69">
        <f>IF(H430="","",A430&amp;"|"&amp;H430)</f>
        <v/>
      </c>
      <c r="M430" s="69">
        <f>IF(A430="","",IFERROR(INDEX(Bestand!$AC$14:$AC$213,MATCH(A430,Bestand!$A$14:$A$213,0)),0))</f>
        <v/>
      </c>
      <c r="N430" s="69">
        <f>IF(OR(H430="",M430&lt;&gt;1),"",C430+ROW()/100000)</f>
        <v/>
      </c>
    </row>
    <row r="431" ht="20" customHeight="1">
      <c r="A431" s="60" t="n"/>
      <c r="B431" s="65">
        <f>IF(A431="","",IFERROR(INDEX(Bestand!$B$14:$B$213,MATCH(A431,Bestand!$A$14:$A$213,0)),"ID unbekannt"))</f>
        <v/>
      </c>
      <c r="C431" s="63" t="n"/>
      <c r="D431" s="62" t="n"/>
      <c r="E431" s="60" t="n"/>
      <c r="F431" s="60" t="n"/>
      <c r="G431" s="61" t="n"/>
      <c r="H431" s="69">
        <f>IF(OR(A431="",C431=""),"",COUNTIFS($A$7:$A$1006,A431,$C$7:$C$1006,"&lt;"&amp;C431)+1)</f>
        <v/>
      </c>
      <c r="I431" s="67">
        <f>IF(H431="","",IF(H431=1,"",C431-_xlfn.MAXIFS($C$7:$C$1006,$A$7:$A$1006,A431,$C$7:$C$1006,"&lt;"&amp;C431)))</f>
        <v/>
      </c>
      <c r="J431" s="68">
        <f>IF(I431="","",I431/TpM)</f>
        <v/>
      </c>
      <c r="K431" s="69">
        <f>IF(H431="","",COUNTIFS($A$7:$A$1006,A431,$C$7:$C$1006,"&gt;0")-H431)</f>
        <v/>
      </c>
      <c r="L431" s="69">
        <f>IF(H431="","",A431&amp;"|"&amp;H431)</f>
        <v/>
      </c>
      <c r="M431" s="69">
        <f>IF(A431="","",IFERROR(INDEX(Bestand!$AC$14:$AC$213,MATCH(A431,Bestand!$A$14:$A$213,0)),0))</f>
        <v/>
      </c>
      <c r="N431" s="69">
        <f>IF(OR(H431="",M431&lt;&gt;1),"",C431+ROW()/100000)</f>
        <v/>
      </c>
    </row>
    <row r="432" ht="20" customHeight="1">
      <c r="A432" s="60" t="n"/>
      <c r="B432" s="65">
        <f>IF(A432="","",IFERROR(INDEX(Bestand!$B$14:$B$213,MATCH(A432,Bestand!$A$14:$A$213,0)),"ID unbekannt"))</f>
        <v/>
      </c>
      <c r="C432" s="63" t="n"/>
      <c r="D432" s="62" t="n"/>
      <c r="E432" s="60" t="n"/>
      <c r="F432" s="60" t="n"/>
      <c r="G432" s="61" t="n"/>
      <c r="H432" s="69">
        <f>IF(OR(A432="",C432=""),"",COUNTIFS($A$7:$A$1006,A432,$C$7:$C$1006,"&lt;"&amp;C432)+1)</f>
        <v/>
      </c>
      <c r="I432" s="67">
        <f>IF(H432="","",IF(H432=1,"",C432-_xlfn.MAXIFS($C$7:$C$1006,$A$7:$A$1006,A432,$C$7:$C$1006,"&lt;"&amp;C432)))</f>
        <v/>
      </c>
      <c r="J432" s="68">
        <f>IF(I432="","",I432/TpM)</f>
        <v/>
      </c>
      <c r="K432" s="69">
        <f>IF(H432="","",COUNTIFS($A$7:$A$1006,A432,$C$7:$C$1006,"&gt;0")-H432)</f>
        <v/>
      </c>
      <c r="L432" s="69">
        <f>IF(H432="","",A432&amp;"|"&amp;H432)</f>
        <v/>
      </c>
      <c r="M432" s="69">
        <f>IF(A432="","",IFERROR(INDEX(Bestand!$AC$14:$AC$213,MATCH(A432,Bestand!$A$14:$A$213,0)),0))</f>
        <v/>
      </c>
      <c r="N432" s="69">
        <f>IF(OR(H432="",M432&lt;&gt;1),"",C432+ROW()/100000)</f>
        <v/>
      </c>
    </row>
    <row r="433" ht="20" customHeight="1">
      <c r="A433" s="60" t="n"/>
      <c r="B433" s="65">
        <f>IF(A433="","",IFERROR(INDEX(Bestand!$B$14:$B$213,MATCH(A433,Bestand!$A$14:$A$213,0)),"ID unbekannt"))</f>
        <v/>
      </c>
      <c r="C433" s="63" t="n"/>
      <c r="D433" s="62" t="n"/>
      <c r="E433" s="60" t="n"/>
      <c r="F433" s="60" t="n"/>
      <c r="G433" s="61" t="n"/>
      <c r="H433" s="69">
        <f>IF(OR(A433="",C433=""),"",COUNTIFS($A$7:$A$1006,A433,$C$7:$C$1006,"&lt;"&amp;C433)+1)</f>
        <v/>
      </c>
      <c r="I433" s="67">
        <f>IF(H433="","",IF(H433=1,"",C433-_xlfn.MAXIFS($C$7:$C$1006,$A$7:$A$1006,A433,$C$7:$C$1006,"&lt;"&amp;C433)))</f>
        <v/>
      </c>
      <c r="J433" s="68">
        <f>IF(I433="","",I433/TpM)</f>
        <v/>
      </c>
      <c r="K433" s="69">
        <f>IF(H433="","",COUNTIFS($A$7:$A$1006,A433,$C$7:$C$1006,"&gt;0")-H433)</f>
        <v/>
      </c>
      <c r="L433" s="69">
        <f>IF(H433="","",A433&amp;"|"&amp;H433)</f>
        <v/>
      </c>
      <c r="M433" s="69">
        <f>IF(A433="","",IFERROR(INDEX(Bestand!$AC$14:$AC$213,MATCH(A433,Bestand!$A$14:$A$213,0)),0))</f>
        <v/>
      </c>
      <c r="N433" s="69">
        <f>IF(OR(H433="",M433&lt;&gt;1),"",C433+ROW()/100000)</f>
        <v/>
      </c>
    </row>
    <row r="434" ht="20" customHeight="1">
      <c r="A434" s="60" t="n"/>
      <c r="B434" s="65">
        <f>IF(A434="","",IFERROR(INDEX(Bestand!$B$14:$B$213,MATCH(A434,Bestand!$A$14:$A$213,0)),"ID unbekannt"))</f>
        <v/>
      </c>
      <c r="C434" s="63" t="n"/>
      <c r="D434" s="62" t="n"/>
      <c r="E434" s="60" t="n"/>
      <c r="F434" s="60" t="n"/>
      <c r="G434" s="61" t="n"/>
      <c r="H434" s="69">
        <f>IF(OR(A434="",C434=""),"",COUNTIFS($A$7:$A$1006,A434,$C$7:$C$1006,"&lt;"&amp;C434)+1)</f>
        <v/>
      </c>
      <c r="I434" s="67">
        <f>IF(H434="","",IF(H434=1,"",C434-_xlfn.MAXIFS($C$7:$C$1006,$A$7:$A$1006,A434,$C$7:$C$1006,"&lt;"&amp;C434)))</f>
        <v/>
      </c>
      <c r="J434" s="68">
        <f>IF(I434="","",I434/TpM)</f>
        <v/>
      </c>
      <c r="K434" s="69">
        <f>IF(H434="","",COUNTIFS($A$7:$A$1006,A434,$C$7:$C$1006,"&gt;0")-H434)</f>
        <v/>
      </c>
      <c r="L434" s="69">
        <f>IF(H434="","",A434&amp;"|"&amp;H434)</f>
        <v/>
      </c>
      <c r="M434" s="69">
        <f>IF(A434="","",IFERROR(INDEX(Bestand!$AC$14:$AC$213,MATCH(A434,Bestand!$A$14:$A$213,0)),0))</f>
        <v/>
      </c>
      <c r="N434" s="69">
        <f>IF(OR(H434="",M434&lt;&gt;1),"",C434+ROW()/100000)</f>
        <v/>
      </c>
    </row>
    <row r="435" ht="20" customHeight="1">
      <c r="A435" s="60" t="n"/>
      <c r="B435" s="65">
        <f>IF(A435="","",IFERROR(INDEX(Bestand!$B$14:$B$213,MATCH(A435,Bestand!$A$14:$A$213,0)),"ID unbekannt"))</f>
        <v/>
      </c>
      <c r="C435" s="63" t="n"/>
      <c r="D435" s="62" t="n"/>
      <c r="E435" s="60" t="n"/>
      <c r="F435" s="60" t="n"/>
      <c r="G435" s="61" t="n"/>
      <c r="H435" s="69">
        <f>IF(OR(A435="",C435=""),"",COUNTIFS($A$7:$A$1006,A435,$C$7:$C$1006,"&lt;"&amp;C435)+1)</f>
        <v/>
      </c>
      <c r="I435" s="67">
        <f>IF(H435="","",IF(H435=1,"",C435-_xlfn.MAXIFS($C$7:$C$1006,$A$7:$A$1006,A435,$C$7:$C$1006,"&lt;"&amp;C435)))</f>
        <v/>
      </c>
      <c r="J435" s="68">
        <f>IF(I435="","",I435/TpM)</f>
        <v/>
      </c>
      <c r="K435" s="69">
        <f>IF(H435="","",COUNTIFS($A$7:$A$1006,A435,$C$7:$C$1006,"&gt;0")-H435)</f>
        <v/>
      </c>
      <c r="L435" s="69">
        <f>IF(H435="","",A435&amp;"|"&amp;H435)</f>
        <v/>
      </c>
      <c r="M435" s="69">
        <f>IF(A435="","",IFERROR(INDEX(Bestand!$AC$14:$AC$213,MATCH(A435,Bestand!$A$14:$A$213,0)),0))</f>
        <v/>
      </c>
      <c r="N435" s="69">
        <f>IF(OR(H435="",M435&lt;&gt;1),"",C435+ROW()/100000)</f>
        <v/>
      </c>
    </row>
    <row r="436" ht="20" customHeight="1">
      <c r="A436" s="60" t="n"/>
      <c r="B436" s="65">
        <f>IF(A436="","",IFERROR(INDEX(Bestand!$B$14:$B$213,MATCH(A436,Bestand!$A$14:$A$213,0)),"ID unbekannt"))</f>
        <v/>
      </c>
      <c r="C436" s="63" t="n"/>
      <c r="D436" s="62" t="n"/>
      <c r="E436" s="60" t="n"/>
      <c r="F436" s="60" t="n"/>
      <c r="G436" s="61" t="n"/>
      <c r="H436" s="69">
        <f>IF(OR(A436="",C436=""),"",COUNTIFS($A$7:$A$1006,A436,$C$7:$C$1006,"&lt;"&amp;C436)+1)</f>
        <v/>
      </c>
      <c r="I436" s="67">
        <f>IF(H436="","",IF(H436=1,"",C436-_xlfn.MAXIFS($C$7:$C$1006,$A$7:$A$1006,A436,$C$7:$C$1006,"&lt;"&amp;C436)))</f>
        <v/>
      </c>
      <c r="J436" s="68">
        <f>IF(I436="","",I436/TpM)</f>
        <v/>
      </c>
      <c r="K436" s="69">
        <f>IF(H436="","",COUNTIFS($A$7:$A$1006,A436,$C$7:$C$1006,"&gt;0")-H436)</f>
        <v/>
      </c>
      <c r="L436" s="69">
        <f>IF(H436="","",A436&amp;"|"&amp;H436)</f>
        <v/>
      </c>
      <c r="M436" s="69">
        <f>IF(A436="","",IFERROR(INDEX(Bestand!$AC$14:$AC$213,MATCH(A436,Bestand!$A$14:$A$213,0)),0))</f>
        <v/>
      </c>
      <c r="N436" s="69">
        <f>IF(OR(H436="",M436&lt;&gt;1),"",C436+ROW()/100000)</f>
        <v/>
      </c>
    </row>
    <row r="437" ht="20" customHeight="1">
      <c r="A437" s="60" t="n"/>
      <c r="B437" s="65">
        <f>IF(A437="","",IFERROR(INDEX(Bestand!$B$14:$B$213,MATCH(A437,Bestand!$A$14:$A$213,0)),"ID unbekannt"))</f>
        <v/>
      </c>
      <c r="C437" s="63" t="n"/>
      <c r="D437" s="62" t="n"/>
      <c r="E437" s="60" t="n"/>
      <c r="F437" s="60" t="n"/>
      <c r="G437" s="61" t="n"/>
      <c r="H437" s="69">
        <f>IF(OR(A437="",C437=""),"",COUNTIFS($A$7:$A$1006,A437,$C$7:$C$1006,"&lt;"&amp;C437)+1)</f>
        <v/>
      </c>
      <c r="I437" s="67">
        <f>IF(H437="","",IF(H437=1,"",C437-_xlfn.MAXIFS($C$7:$C$1006,$A$7:$A$1006,A437,$C$7:$C$1006,"&lt;"&amp;C437)))</f>
        <v/>
      </c>
      <c r="J437" s="68">
        <f>IF(I437="","",I437/TpM)</f>
        <v/>
      </c>
      <c r="K437" s="69">
        <f>IF(H437="","",COUNTIFS($A$7:$A$1006,A437,$C$7:$C$1006,"&gt;0")-H437)</f>
        <v/>
      </c>
      <c r="L437" s="69">
        <f>IF(H437="","",A437&amp;"|"&amp;H437)</f>
        <v/>
      </c>
      <c r="M437" s="69">
        <f>IF(A437="","",IFERROR(INDEX(Bestand!$AC$14:$AC$213,MATCH(A437,Bestand!$A$14:$A$213,0)),0))</f>
        <v/>
      </c>
      <c r="N437" s="69">
        <f>IF(OR(H437="",M437&lt;&gt;1),"",C437+ROW()/100000)</f>
        <v/>
      </c>
    </row>
    <row r="438" ht="20" customHeight="1">
      <c r="A438" s="60" t="n"/>
      <c r="B438" s="65">
        <f>IF(A438="","",IFERROR(INDEX(Bestand!$B$14:$B$213,MATCH(A438,Bestand!$A$14:$A$213,0)),"ID unbekannt"))</f>
        <v/>
      </c>
      <c r="C438" s="63" t="n"/>
      <c r="D438" s="62" t="n"/>
      <c r="E438" s="60" t="n"/>
      <c r="F438" s="60" t="n"/>
      <c r="G438" s="61" t="n"/>
      <c r="H438" s="69">
        <f>IF(OR(A438="",C438=""),"",COUNTIFS($A$7:$A$1006,A438,$C$7:$C$1006,"&lt;"&amp;C438)+1)</f>
        <v/>
      </c>
      <c r="I438" s="67">
        <f>IF(H438="","",IF(H438=1,"",C438-_xlfn.MAXIFS($C$7:$C$1006,$A$7:$A$1006,A438,$C$7:$C$1006,"&lt;"&amp;C438)))</f>
        <v/>
      </c>
      <c r="J438" s="68">
        <f>IF(I438="","",I438/TpM)</f>
        <v/>
      </c>
      <c r="K438" s="69">
        <f>IF(H438="","",COUNTIFS($A$7:$A$1006,A438,$C$7:$C$1006,"&gt;0")-H438)</f>
        <v/>
      </c>
      <c r="L438" s="69">
        <f>IF(H438="","",A438&amp;"|"&amp;H438)</f>
        <v/>
      </c>
      <c r="M438" s="69">
        <f>IF(A438="","",IFERROR(INDEX(Bestand!$AC$14:$AC$213,MATCH(A438,Bestand!$A$14:$A$213,0)),0))</f>
        <v/>
      </c>
      <c r="N438" s="69">
        <f>IF(OR(H438="",M438&lt;&gt;1),"",C438+ROW()/100000)</f>
        <v/>
      </c>
    </row>
    <row r="439" ht="20" customHeight="1">
      <c r="A439" s="60" t="n"/>
      <c r="B439" s="65">
        <f>IF(A439="","",IFERROR(INDEX(Bestand!$B$14:$B$213,MATCH(A439,Bestand!$A$14:$A$213,0)),"ID unbekannt"))</f>
        <v/>
      </c>
      <c r="C439" s="63" t="n"/>
      <c r="D439" s="62" t="n"/>
      <c r="E439" s="60" t="n"/>
      <c r="F439" s="60" t="n"/>
      <c r="G439" s="61" t="n"/>
      <c r="H439" s="69">
        <f>IF(OR(A439="",C439=""),"",COUNTIFS($A$7:$A$1006,A439,$C$7:$C$1006,"&lt;"&amp;C439)+1)</f>
        <v/>
      </c>
      <c r="I439" s="67">
        <f>IF(H439="","",IF(H439=1,"",C439-_xlfn.MAXIFS($C$7:$C$1006,$A$7:$A$1006,A439,$C$7:$C$1006,"&lt;"&amp;C439)))</f>
        <v/>
      </c>
      <c r="J439" s="68">
        <f>IF(I439="","",I439/TpM)</f>
        <v/>
      </c>
      <c r="K439" s="69">
        <f>IF(H439="","",COUNTIFS($A$7:$A$1006,A439,$C$7:$C$1006,"&gt;0")-H439)</f>
        <v/>
      </c>
      <c r="L439" s="69">
        <f>IF(H439="","",A439&amp;"|"&amp;H439)</f>
        <v/>
      </c>
      <c r="M439" s="69">
        <f>IF(A439="","",IFERROR(INDEX(Bestand!$AC$14:$AC$213,MATCH(A439,Bestand!$A$14:$A$213,0)),0))</f>
        <v/>
      </c>
      <c r="N439" s="69">
        <f>IF(OR(H439="",M439&lt;&gt;1),"",C439+ROW()/100000)</f>
        <v/>
      </c>
    </row>
    <row r="440" ht="20" customHeight="1">
      <c r="A440" s="60" t="n"/>
      <c r="B440" s="65">
        <f>IF(A440="","",IFERROR(INDEX(Bestand!$B$14:$B$213,MATCH(A440,Bestand!$A$14:$A$213,0)),"ID unbekannt"))</f>
        <v/>
      </c>
      <c r="C440" s="63" t="n"/>
      <c r="D440" s="62" t="n"/>
      <c r="E440" s="60" t="n"/>
      <c r="F440" s="60" t="n"/>
      <c r="G440" s="61" t="n"/>
      <c r="H440" s="69">
        <f>IF(OR(A440="",C440=""),"",COUNTIFS($A$7:$A$1006,A440,$C$7:$C$1006,"&lt;"&amp;C440)+1)</f>
        <v/>
      </c>
      <c r="I440" s="67">
        <f>IF(H440="","",IF(H440=1,"",C440-_xlfn.MAXIFS($C$7:$C$1006,$A$7:$A$1006,A440,$C$7:$C$1006,"&lt;"&amp;C440)))</f>
        <v/>
      </c>
      <c r="J440" s="68">
        <f>IF(I440="","",I440/TpM)</f>
        <v/>
      </c>
      <c r="K440" s="69">
        <f>IF(H440="","",COUNTIFS($A$7:$A$1006,A440,$C$7:$C$1006,"&gt;0")-H440)</f>
        <v/>
      </c>
      <c r="L440" s="69">
        <f>IF(H440="","",A440&amp;"|"&amp;H440)</f>
        <v/>
      </c>
      <c r="M440" s="69">
        <f>IF(A440="","",IFERROR(INDEX(Bestand!$AC$14:$AC$213,MATCH(A440,Bestand!$A$14:$A$213,0)),0))</f>
        <v/>
      </c>
      <c r="N440" s="69">
        <f>IF(OR(H440="",M440&lt;&gt;1),"",C440+ROW()/100000)</f>
        <v/>
      </c>
    </row>
    <row r="441" ht="20" customHeight="1">
      <c r="A441" s="60" t="n"/>
      <c r="B441" s="65">
        <f>IF(A441="","",IFERROR(INDEX(Bestand!$B$14:$B$213,MATCH(A441,Bestand!$A$14:$A$213,0)),"ID unbekannt"))</f>
        <v/>
      </c>
      <c r="C441" s="63" t="n"/>
      <c r="D441" s="62" t="n"/>
      <c r="E441" s="60" t="n"/>
      <c r="F441" s="60" t="n"/>
      <c r="G441" s="61" t="n"/>
      <c r="H441" s="69">
        <f>IF(OR(A441="",C441=""),"",COUNTIFS($A$7:$A$1006,A441,$C$7:$C$1006,"&lt;"&amp;C441)+1)</f>
        <v/>
      </c>
      <c r="I441" s="67">
        <f>IF(H441="","",IF(H441=1,"",C441-_xlfn.MAXIFS($C$7:$C$1006,$A$7:$A$1006,A441,$C$7:$C$1006,"&lt;"&amp;C441)))</f>
        <v/>
      </c>
      <c r="J441" s="68">
        <f>IF(I441="","",I441/TpM)</f>
        <v/>
      </c>
      <c r="K441" s="69">
        <f>IF(H441="","",COUNTIFS($A$7:$A$1006,A441,$C$7:$C$1006,"&gt;0")-H441)</f>
        <v/>
      </c>
      <c r="L441" s="69">
        <f>IF(H441="","",A441&amp;"|"&amp;H441)</f>
        <v/>
      </c>
      <c r="M441" s="69">
        <f>IF(A441="","",IFERROR(INDEX(Bestand!$AC$14:$AC$213,MATCH(A441,Bestand!$A$14:$A$213,0)),0))</f>
        <v/>
      </c>
      <c r="N441" s="69">
        <f>IF(OR(H441="",M441&lt;&gt;1),"",C441+ROW()/100000)</f>
        <v/>
      </c>
    </row>
    <row r="442" ht="20" customHeight="1">
      <c r="A442" s="60" t="n"/>
      <c r="B442" s="65">
        <f>IF(A442="","",IFERROR(INDEX(Bestand!$B$14:$B$213,MATCH(A442,Bestand!$A$14:$A$213,0)),"ID unbekannt"))</f>
        <v/>
      </c>
      <c r="C442" s="63" t="n"/>
      <c r="D442" s="62" t="n"/>
      <c r="E442" s="60" t="n"/>
      <c r="F442" s="60" t="n"/>
      <c r="G442" s="61" t="n"/>
      <c r="H442" s="69">
        <f>IF(OR(A442="",C442=""),"",COUNTIFS($A$7:$A$1006,A442,$C$7:$C$1006,"&lt;"&amp;C442)+1)</f>
        <v/>
      </c>
      <c r="I442" s="67">
        <f>IF(H442="","",IF(H442=1,"",C442-_xlfn.MAXIFS($C$7:$C$1006,$A$7:$A$1006,A442,$C$7:$C$1006,"&lt;"&amp;C442)))</f>
        <v/>
      </c>
      <c r="J442" s="68">
        <f>IF(I442="","",I442/TpM)</f>
        <v/>
      </c>
      <c r="K442" s="69">
        <f>IF(H442="","",COUNTIFS($A$7:$A$1006,A442,$C$7:$C$1006,"&gt;0")-H442)</f>
        <v/>
      </c>
      <c r="L442" s="69">
        <f>IF(H442="","",A442&amp;"|"&amp;H442)</f>
        <v/>
      </c>
      <c r="M442" s="69">
        <f>IF(A442="","",IFERROR(INDEX(Bestand!$AC$14:$AC$213,MATCH(A442,Bestand!$A$14:$A$213,0)),0))</f>
        <v/>
      </c>
      <c r="N442" s="69">
        <f>IF(OR(H442="",M442&lt;&gt;1),"",C442+ROW()/100000)</f>
        <v/>
      </c>
    </row>
    <row r="443" ht="20" customHeight="1">
      <c r="A443" s="60" t="n"/>
      <c r="B443" s="65">
        <f>IF(A443="","",IFERROR(INDEX(Bestand!$B$14:$B$213,MATCH(A443,Bestand!$A$14:$A$213,0)),"ID unbekannt"))</f>
        <v/>
      </c>
      <c r="C443" s="63" t="n"/>
      <c r="D443" s="62" t="n"/>
      <c r="E443" s="60" t="n"/>
      <c r="F443" s="60" t="n"/>
      <c r="G443" s="61" t="n"/>
      <c r="H443" s="69">
        <f>IF(OR(A443="",C443=""),"",COUNTIFS($A$7:$A$1006,A443,$C$7:$C$1006,"&lt;"&amp;C443)+1)</f>
        <v/>
      </c>
      <c r="I443" s="67">
        <f>IF(H443="","",IF(H443=1,"",C443-_xlfn.MAXIFS($C$7:$C$1006,$A$7:$A$1006,A443,$C$7:$C$1006,"&lt;"&amp;C443)))</f>
        <v/>
      </c>
      <c r="J443" s="68">
        <f>IF(I443="","",I443/TpM)</f>
        <v/>
      </c>
      <c r="K443" s="69">
        <f>IF(H443="","",COUNTIFS($A$7:$A$1006,A443,$C$7:$C$1006,"&gt;0")-H443)</f>
        <v/>
      </c>
      <c r="L443" s="69">
        <f>IF(H443="","",A443&amp;"|"&amp;H443)</f>
        <v/>
      </c>
      <c r="M443" s="69">
        <f>IF(A443="","",IFERROR(INDEX(Bestand!$AC$14:$AC$213,MATCH(A443,Bestand!$A$14:$A$213,0)),0))</f>
        <v/>
      </c>
      <c r="N443" s="69">
        <f>IF(OR(H443="",M443&lt;&gt;1),"",C443+ROW()/100000)</f>
        <v/>
      </c>
    </row>
    <row r="444" ht="20" customHeight="1">
      <c r="A444" s="60" t="n"/>
      <c r="B444" s="65">
        <f>IF(A444="","",IFERROR(INDEX(Bestand!$B$14:$B$213,MATCH(A444,Bestand!$A$14:$A$213,0)),"ID unbekannt"))</f>
        <v/>
      </c>
      <c r="C444" s="63" t="n"/>
      <c r="D444" s="62" t="n"/>
      <c r="E444" s="60" t="n"/>
      <c r="F444" s="60" t="n"/>
      <c r="G444" s="61" t="n"/>
      <c r="H444" s="69">
        <f>IF(OR(A444="",C444=""),"",COUNTIFS($A$7:$A$1006,A444,$C$7:$C$1006,"&lt;"&amp;C444)+1)</f>
        <v/>
      </c>
      <c r="I444" s="67">
        <f>IF(H444="","",IF(H444=1,"",C444-_xlfn.MAXIFS($C$7:$C$1006,$A$7:$A$1006,A444,$C$7:$C$1006,"&lt;"&amp;C444)))</f>
        <v/>
      </c>
      <c r="J444" s="68">
        <f>IF(I444="","",I444/TpM)</f>
        <v/>
      </c>
      <c r="K444" s="69">
        <f>IF(H444="","",COUNTIFS($A$7:$A$1006,A444,$C$7:$C$1006,"&gt;0")-H444)</f>
        <v/>
      </c>
      <c r="L444" s="69">
        <f>IF(H444="","",A444&amp;"|"&amp;H444)</f>
        <v/>
      </c>
      <c r="M444" s="69">
        <f>IF(A444="","",IFERROR(INDEX(Bestand!$AC$14:$AC$213,MATCH(A444,Bestand!$A$14:$A$213,0)),0))</f>
        <v/>
      </c>
      <c r="N444" s="69">
        <f>IF(OR(H444="",M444&lt;&gt;1),"",C444+ROW()/100000)</f>
        <v/>
      </c>
    </row>
    <row r="445" ht="20" customHeight="1">
      <c r="A445" s="60" t="n"/>
      <c r="B445" s="65">
        <f>IF(A445="","",IFERROR(INDEX(Bestand!$B$14:$B$213,MATCH(A445,Bestand!$A$14:$A$213,0)),"ID unbekannt"))</f>
        <v/>
      </c>
      <c r="C445" s="63" t="n"/>
      <c r="D445" s="62" t="n"/>
      <c r="E445" s="60" t="n"/>
      <c r="F445" s="60" t="n"/>
      <c r="G445" s="61" t="n"/>
      <c r="H445" s="69">
        <f>IF(OR(A445="",C445=""),"",COUNTIFS($A$7:$A$1006,A445,$C$7:$C$1006,"&lt;"&amp;C445)+1)</f>
        <v/>
      </c>
      <c r="I445" s="67">
        <f>IF(H445="","",IF(H445=1,"",C445-_xlfn.MAXIFS($C$7:$C$1006,$A$7:$A$1006,A445,$C$7:$C$1006,"&lt;"&amp;C445)))</f>
        <v/>
      </c>
      <c r="J445" s="68">
        <f>IF(I445="","",I445/TpM)</f>
        <v/>
      </c>
      <c r="K445" s="69">
        <f>IF(H445="","",COUNTIFS($A$7:$A$1006,A445,$C$7:$C$1006,"&gt;0")-H445)</f>
        <v/>
      </c>
      <c r="L445" s="69">
        <f>IF(H445="","",A445&amp;"|"&amp;H445)</f>
        <v/>
      </c>
      <c r="M445" s="69">
        <f>IF(A445="","",IFERROR(INDEX(Bestand!$AC$14:$AC$213,MATCH(A445,Bestand!$A$14:$A$213,0)),0))</f>
        <v/>
      </c>
      <c r="N445" s="69">
        <f>IF(OR(H445="",M445&lt;&gt;1),"",C445+ROW()/100000)</f>
        <v/>
      </c>
    </row>
    <row r="446" ht="20" customHeight="1">
      <c r="A446" s="60" t="n"/>
      <c r="B446" s="65">
        <f>IF(A446="","",IFERROR(INDEX(Bestand!$B$14:$B$213,MATCH(A446,Bestand!$A$14:$A$213,0)),"ID unbekannt"))</f>
        <v/>
      </c>
      <c r="C446" s="63" t="n"/>
      <c r="D446" s="62" t="n"/>
      <c r="E446" s="60" t="n"/>
      <c r="F446" s="60" t="n"/>
      <c r="G446" s="61" t="n"/>
      <c r="H446" s="69">
        <f>IF(OR(A446="",C446=""),"",COUNTIFS($A$7:$A$1006,A446,$C$7:$C$1006,"&lt;"&amp;C446)+1)</f>
        <v/>
      </c>
      <c r="I446" s="67">
        <f>IF(H446="","",IF(H446=1,"",C446-_xlfn.MAXIFS($C$7:$C$1006,$A$7:$A$1006,A446,$C$7:$C$1006,"&lt;"&amp;C446)))</f>
        <v/>
      </c>
      <c r="J446" s="68">
        <f>IF(I446="","",I446/TpM)</f>
        <v/>
      </c>
      <c r="K446" s="69">
        <f>IF(H446="","",COUNTIFS($A$7:$A$1006,A446,$C$7:$C$1006,"&gt;0")-H446)</f>
        <v/>
      </c>
      <c r="L446" s="69">
        <f>IF(H446="","",A446&amp;"|"&amp;H446)</f>
        <v/>
      </c>
      <c r="M446" s="69">
        <f>IF(A446="","",IFERROR(INDEX(Bestand!$AC$14:$AC$213,MATCH(A446,Bestand!$A$14:$A$213,0)),0))</f>
        <v/>
      </c>
      <c r="N446" s="69">
        <f>IF(OR(H446="",M446&lt;&gt;1),"",C446+ROW()/100000)</f>
        <v/>
      </c>
    </row>
    <row r="447" ht="20" customHeight="1">
      <c r="A447" s="60" t="n"/>
      <c r="B447" s="65">
        <f>IF(A447="","",IFERROR(INDEX(Bestand!$B$14:$B$213,MATCH(A447,Bestand!$A$14:$A$213,0)),"ID unbekannt"))</f>
        <v/>
      </c>
      <c r="C447" s="63" t="n"/>
      <c r="D447" s="62" t="n"/>
      <c r="E447" s="60" t="n"/>
      <c r="F447" s="60" t="n"/>
      <c r="G447" s="61" t="n"/>
      <c r="H447" s="69">
        <f>IF(OR(A447="",C447=""),"",COUNTIFS($A$7:$A$1006,A447,$C$7:$C$1006,"&lt;"&amp;C447)+1)</f>
        <v/>
      </c>
      <c r="I447" s="67">
        <f>IF(H447="","",IF(H447=1,"",C447-_xlfn.MAXIFS($C$7:$C$1006,$A$7:$A$1006,A447,$C$7:$C$1006,"&lt;"&amp;C447)))</f>
        <v/>
      </c>
      <c r="J447" s="68">
        <f>IF(I447="","",I447/TpM)</f>
        <v/>
      </c>
      <c r="K447" s="69">
        <f>IF(H447="","",COUNTIFS($A$7:$A$1006,A447,$C$7:$C$1006,"&gt;0")-H447)</f>
        <v/>
      </c>
      <c r="L447" s="69">
        <f>IF(H447="","",A447&amp;"|"&amp;H447)</f>
        <v/>
      </c>
      <c r="M447" s="69">
        <f>IF(A447="","",IFERROR(INDEX(Bestand!$AC$14:$AC$213,MATCH(A447,Bestand!$A$14:$A$213,0)),0))</f>
        <v/>
      </c>
      <c r="N447" s="69">
        <f>IF(OR(H447="",M447&lt;&gt;1),"",C447+ROW()/100000)</f>
        <v/>
      </c>
    </row>
    <row r="448" ht="20" customHeight="1">
      <c r="A448" s="60" t="n"/>
      <c r="B448" s="65">
        <f>IF(A448="","",IFERROR(INDEX(Bestand!$B$14:$B$213,MATCH(A448,Bestand!$A$14:$A$213,0)),"ID unbekannt"))</f>
        <v/>
      </c>
      <c r="C448" s="63" t="n"/>
      <c r="D448" s="62" t="n"/>
      <c r="E448" s="60" t="n"/>
      <c r="F448" s="60" t="n"/>
      <c r="G448" s="61" t="n"/>
      <c r="H448" s="69">
        <f>IF(OR(A448="",C448=""),"",COUNTIFS($A$7:$A$1006,A448,$C$7:$C$1006,"&lt;"&amp;C448)+1)</f>
        <v/>
      </c>
      <c r="I448" s="67">
        <f>IF(H448="","",IF(H448=1,"",C448-_xlfn.MAXIFS($C$7:$C$1006,$A$7:$A$1006,A448,$C$7:$C$1006,"&lt;"&amp;C448)))</f>
        <v/>
      </c>
      <c r="J448" s="68">
        <f>IF(I448="","",I448/TpM)</f>
        <v/>
      </c>
      <c r="K448" s="69">
        <f>IF(H448="","",COUNTIFS($A$7:$A$1006,A448,$C$7:$C$1006,"&gt;0")-H448)</f>
        <v/>
      </c>
      <c r="L448" s="69">
        <f>IF(H448="","",A448&amp;"|"&amp;H448)</f>
        <v/>
      </c>
      <c r="M448" s="69">
        <f>IF(A448="","",IFERROR(INDEX(Bestand!$AC$14:$AC$213,MATCH(A448,Bestand!$A$14:$A$213,0)),0))</f>
        <v/>
      </c>
      <c r="N448" s="69">
        <f>IF(OR(H448="",M448&lt;&gt;1),"",C448+ROW()/100000)</f>
        <v/>
      </c>
    </row>
    <row r="449" ht="20" customHeight="1">
      <c r="A449" s="60" t="n"/>
      <c r="B449" s="65">
        <f>IF(A449="","",IFERROR(INDEX(Bestand!$B$14:$B$213,MATCH(A449,Bestand!$A$14:$A$213,0)),"ID unbekannt"))</f>
        <v/>
      </c>
      <c r="C449" s="63" t="n"/>
      <c r="D449" s="62" t="n"/>
      <c r="E449" s="60" t="n"/>
      <c r="F449" s="60" t="n"/>
      <c r="G449" s="61" t="n"/>
      <c r="H449" s="69">
        <f>IF(OR(A449="",C449=""),"",COUNTIFS($A$7:$A$1006,A449,$C$7:$C$1006,"&lt;"&amp;C449)+1)</f>
        <v/>
      </c>
      <c r="I449" s="67">
        <f>IF(H449="","",IF(H449=1,"",C449-_xlfn.MAXIFS($C$7:$C$1006,$A$7:$A$1006,A449,$C$7:$C$1006,"&lt;"&amp;C449)))</f>
        <v/>
      </c>
      <c r="J449" s="68">
        <f>IF(I449="","",I449/TpM)</f>
        <v/>
      </c>
      <c r="K449" s="69">
        <f>IF(H449="","",COUNTIFS($A$7:$A$1006,A449,$C$7:$C$1006,"&gt;0")-H449)</f>
        <v/>
      </c>
      <c r="L449" s="69">
        <f>IF(H449="","",A449&amp;"|"&amp;H449)</f>
        <v/>
      </c>
      <c r="M449" s="69">
        <f>IF(A449="","",IFERROR(INDEX(Bestand!$AC$14:$AC$213,MATCH(A449,Bestand!$A$14:$A$213,0)),0))</f>
        <v/>
      </c>
      <c r="N449" s="69">
        <f>IF(OR(H449="",M449&lt;&gt;1),"",C449+ROW()/100000)</f>
        <v/>
      </c>
    </row>
    <row r="450" ht="20" customHeight="1">
      <c r="A450" s="60" t="n"/>
      <c r="B450" s="65">
        <f>IF(A450="","",IFERROR(INDEX(Bestand!$B$14:$B$213,MATCH(A450,Bestand!$A$14:$A$213,0)),"ID unbekannt"))</f>
        <v/>
      </c>
      <c r="C450" s="63" t="n"/>
      <c r="D450" s="62" t="n"/>
      <c r="E450" s="60" t="n"/>
      <c r="F450" s="60" t="n"/>
      <c r="G450" s="61" t="n"/>
      <c r="H450" s="69">
        <f>IF(OR(A450="",C450=""),"",COUNTIFS($A$7:$A$1006,A450,$C$7:$C$1006,"&lt;"&amp;C450)+1)</f>
        <v/>
      </c>
      <c r="I450" s="67">
        <f>IF(H450="","",IF(H450=1,"",C450-_xlfn.MAXIFS($C$7:$C$1006,$A$7:$A$1006,A450,$C$7:$C$1006,"&lt;"&amp;C450)))</f>
        <v/>
      </c>
      <c r="J450" s="68">
        <f>IF(I450="","",I450/TpM)</f>
        <v/>
      </c>
      <c r="K450" s="69">
        <f>IF(H450="","",COUNTIFS($A$7:$A$1006,A450,$C$7:$C$1006,"&gt;0")-H450)</f>
        <v/>
      </c>
      <c r="L450" s="69">
        <f>IF(H450="","",A450&amp;"|"&amp;H450)</f>
        <v/>
      </c>
      <c r="M450" s="69">
        <f>IF(A450="","",IFERROR(INDEX(Bestand!$AC$14:$AC$213,MATCH(A450,Bestand!$A$14:$A$213,0)),0))</f>
        <v/>
      </c>
      <c r="N450" s="69">
        <f>IF(OR(H450="",M450&lt;&gt;1),"",C450+ROW()/100000)</f>
        <v/>
      </c>
    </row>
    <row r="451" ht="20" customHeight="1">
      <c r="A451" s="60" t="n"/>
      <c r="B451" s="65">
        <f>IF(A451="","",IFERROR(INDEX(Bestand!$B$14:$B$213,MATCH(A451,Bestand!$A$14:$A$213,0)),"ID unbekannt"))</f>
        <v/>
      </c>
      <c r="C451" s="63" t="n"/>
      <c r="D451" s="62" t="n"/>
      <c r="E451" s="60" t="n"/>
      <c r="F451" s="60" t="n"/>
      <c r="G451" s="61" t="n"/>
      <c r="H451" s="69">
        <f>IF(OR(A451="",C451=""),"",COUNTIFS($A$7:$A$1006,A451,$C$7:$C$1006,"&lt;"&amp;C451)+1)</f>
        <v/>
      </c>
      <c r="I451" s="67">
        <f>IF(H451="","",IF(H451=1,"",C451-_xlfn.MAXIFS($C$7:$C$1006,$A$7:$A$1006,A451,$C$7:$C$1006,"&lt;"&amp;C451)))</f>
        <v/>
      </c>
      <c r="J451" s="68">
        <f>IF(I451="","",I451/TpM)</f>
        <v/>
      </c>
      <c r="K451" s="69">
        <f>IF(H451="","",COUNTIFS($A$7:$A$1006,A451,$C$7:$C$1006,"&gt;0")-H451)</f>
        <v/>
      </c>
      <c r="L451" s="69">
        <f>IF(H451="","",A451&amp;"|"&amp;H451)</f>
        <v/>
      </c>
      <c r="M451" s="69">
        <f>IF(A451="","",IFERROR(INDEX(Bestand!$AC$14:$AC$213,MATCH(A451,Bestand!$A$14:$A$213,0)),0))</f>
        <v/>
      </c>
      <c r="N451" s="69">
        <f>IF(OR(H451="",M451&lt;&gt;1),"",C451+ROW()/100000)</f>
        <v/>
      </c>
    </row>
    <row r="452" ht="20" customHeight="1">
      <c r="A452" s="60" t="n"/>
      <c r="B452" s="65">
        <f>IF(A452="","",IFERROR(INDEX(Bestand!$B$14:$B$213,MATCH(A452,Bestand!$A$14:$A$213,0)),"ID unbekannt"))</f>
        <v/>
      </c>
      <c r="C452" s="63" t="n"/>
      <c r="D452" s="62" t="n"/>
      <c r="E452" s="60" t="n"/>
      <c r="F452" s="60" t="n"/>
      <c r="G452" s="61" t="n"/>
      <c r="H452" s="69">
        <f>IF(OR(A452="",C452=""),"",COUNTIFS($A$7:$A$1006,A452,$C$7:$C$1006,"&lt;"&amp;C452)+1)</f>
        <v/>
      </c>
      <c r="I452" s="67">
        <f>IF(H452="","",IF(H452=1,"",C452-_xlfn.MAXIFS($C$7:$C$1006,$A$7:$A$1006,A452,$C$7:$C$1006,"&lt;"&amp;C452)))</f>
        <v/>
      </c>
      <c r="J452" s="68">
        <f>IF(I452="","",I452/TpM)</f>
        <v/>
      </c>
      <c r="K452" s="69">
        <f>IF(H452="","",COUNTIFS($A$7:$A$1006,A452,$C$7:$C$1006,"&gt;0")-H452)</f>
        <v/>
      </c>
      <c r="L452" s="69">
        <f>IF(H452="","",A452&amp;"|"&amp;H452)</f>
        <v/>
      </c>
      <c r="M452" s="69">
        <f>IF(A452="","",IFERROR(INDEX(Bestand!$AC$14:$AC$213,MATCH(A452,Bestand!$A$14:$A$213,0)),0))</f>
        <v/>
      </c>
      <c r="N452" s="69">
        <f>IF(OR(H452="",M452&lt;&gt;1),"",C452+ROW()/100000)</f>
        <v/>
      </c>
    </row>
    <row r="453" ht="20" customHeight="1">
      <c r="A453" s="60" t="n"/>
      <c r="B453" s="65">
        <f>IF(A453="","",IFERROR(INDEX(Bestand!$B$14:$B$213,MATCH(A453,Bestand!$A$14:$A$213,0)),"ID unbekannt"))</f>
        <v/>
      </c>
      <c r="C453" s="63" t="n"/>
      <c r="D453" s="62" t="n"/>
      <c r="E453" s="60" t="n"/>
      <c r="F453" s="60" t="n"/>
      <c r="G453" s="61" t="n"/>
      <c r="H453" s="69">
        <f>IF(OR(A453="",C453=""),"",COUNTIFS($A$7:$A$1006,A453,$C$7:$C$1006,"&lt;"&amp;C453)+1)</f>
        <v/>
      </c>
      <c r="I453" s="67">
        <f>IF(H453="","",IF(H453=1,"",C453-_xlfn.MAXIFS($C$7:$C$1006,$A$7:$A$1006,A453,$C$7:$C$1006,"&lt;"&amp;C453)))</f>
        <v/>
      </c>
      <c r="J453" s="68">
        <f>IF(I453="","",I453/TpM)</f>
        <v/>
      </c>
      <c r="K453" s="69">
        <f>IF(H453="","",COUNTIFS($A$7:$A$1006,A453,$C$7:$C$1006,"&gt;0")-H453)</f>
        <v/>
      </c>
      <c r="L453" s="69">
        <f>IF(H453="","",A453&amp;"|"&amp;H453)</f>
        <v/>
      </c>
      <c r="M453" s="69">
        <f>IF(A453="","",IFERROR(INDEX(Bestand!$AC$14:$AC$213,MATCH(A453,Bestand!$A$14:$A$213,0)),0))</f>
        <v/>
      </c>
      <c r="N453" s="69">
        <f>IF(OR(H453="",M453&lt;&gt;1),"",C453+ROW()/100000)</f>
        <v/>
      </c>
    </row>
    <row r="454" ht="20" customHeight="1">
      <c r="A454" s="60" t="n"/>
      <c r="B454" s="65">
        <f>IF(A454="","",IFERROR(INDEX(Bestand!$B$14:$B$213,MATCH(A454,Bestand!$A$14:$A$213,0)),"ID unbekannt"))</f>
        <v/>
      </c>
      <c r="C454" s="63" t="n"/>
      <c r="D454" s="62" t="n"/>
      <c r="E454" s="60" t="n"/>
      <c r="F454" s="60" t="n"/>
      <c r="G454" s="61" t="n"/>
      <c r="H454" s="69">
        <f>IF(OR(A454="",C454=""),"",COUNTIFS($A$7:$A$1006,A454,$C$7:$C$1006,"&lt;"&amp;C454)+1)</f>
        <v/>
      </c>
      <c r="I454" s="67">
        <f>IF(H454="","",IF(H454=1,"",C454-_xlfn.MAXIFS($C$7:$C$1006,$A$7:$A$1006,A454,$C$7:$C$1006,"&lt;"&amp;C454)))</f>
        <v/>
      </c>
      <c r="J454" s="68">
        <f>IF(I454="","",I454/TpM)</f>
        <v/>
      </c>
      <c r="K454" s="69">
        <f>IF(H454="","",COUNTIFS($A$7:$A$1006,A454,$C$7:$C$1006,"&gt;0")-H454)</f>
        <v/>
      </c>
      <c r="L454" s="69">
        <f>IF(H454="","",A454&amp;"|"&amp;H454)</f>
        <v/>
      </c>
      <c r="M454" s="69">
        <f>IF(A454="","",IFERROR(INDEX(Bestand!$AC$14:$AC$213,MATCH(A454,Bestand!$A$14:$A$213,0)),0))</f>
        <v/>
      </c>
      <c r="N454" s="69">
        <f>IF(OR(H454="",M454&lt;&gt;1),"",C454+ROW()/100000)</f>
        <v/>
      </c>
    </row>
    <row r="455" ht="20" customHeight="1">
      <c r="A455" s="60" t="n"/>
      <c r="B455" s="65">
        <f>IF(A455="","",IFERROR(INDEX(Bestand!$B$14:$B$213,MATCH(A455,Bestand!$A$14:$A$213,0)),"ID unbekannt"))</f>
        <v/>
      </c>
      <c r="C455" s="63" t="n"/>
      <c r="D455" s="62" t="n"/>
      <c r="E455" s="60" t="n"/>
      <c r="F455" s="60" t="n"/>
      <c r="G455" s="61" t="n"/>
      <c r="H455" s="69">
        <f>IF(OR(A455="",C455=""),"",COUNTIFS($A$7:$A$1006,A455,$C$7:$C$1006,"&lt;"&amp;C455)+1)</f>
        <v/>
      </c>
      <c r="I455" s="67">
        <f>IF(H455="","",IF(H455=1,"",C455-_xlfn.MAXIFS($C$7:$C$1006,$A$7:$A$1006,A455,$C$7:$C$1006,"&lt;"&amp;C455)))</f>
        <v/>
      </c>
      <c r="J455" s="68">
        <f>IF(I455="","",I455/TpM)</f>
        <v/>
      </c>
      <c r="K455" s="69">
        <f>IF(H455="","",COUNTIFS($A$7:$A$1006,A455,$C$7:$C$1006,"&gt;0")-H455)</f>
        <v/>
      </c>
      <c r="L455" s="69">
        <f>IF(H455="","",A455&amp;"|"&amp;H455)</f>
        <v/>
      </c>
      <c r="M455" s="69">
        <f>IF(A455="","",IFERROR(INDEX(Bestand!$AC$14:$AC$213,MATCH(A455,Bestand!$A$14:$A$213,0)),0))</f>
        <v/>
      </c>
      <c r="N455" s="69">
        <f>IF(OR(H455="",M455&lt;&gt;1),"",C455+ROW()/100000)</f>
        <v/>
      </c>
    </row>
    <row r="456" ht="20" customHeight="1">
      <c r="A456" s="60" t="n"/>
      <c r="B456" s="65">
        <f>IF(A456="","",IFERROR(INDEX(Bestand!$B$14:$B$213,MATCH(A456,Bestand!$A$14:$A$213,0)),"ID unbekannt"))</f>
        <v/>
      </c>
      <c r="C456" s="63" t="n"/>
      <c r="D456" s="62" t="n"/>
      <c r="E456" s="60" t="n"/>
      <c r="F456" s="60" t="n"/>
      <c r="G456" s="61" t="n"/>
      <c r="H456" s="69">
        <f>IF(OR(A456="",C456=""),"",COUNTIFS($A$7:$A$1006,A456,$C$7:$C$1006,"&lt;"&amp;C456)+1)</f>
        <v/>
      </c>
      <c r="I456" s="67">
        <f>IF(H456="","",IF(H456=1,"",C456-_xlfn.MAXIFS($C$7:$C$1006,$A$7:$A$1006,A456,$C$7:$C$1006,"&lt;"&amp;C456)))</f>
        <v/>
      </c>
      <c r="J456" s="68">
        <f>IF(I456="","",I456/TpM)</f>
        <v/>
      </c>
      <c r="K456" s="69">
        <f>IF(H456="","",COUNTIFS($A$7:$A$1006,A456,$C$7:$C$1006,"&gt;0")-H456)</f>
        <v/>
      </c>
      <c r="L456" s="69">
        <f>IF(H456="","",A456&amp;"|"&amp;H456)</f>
        <v/>
      </c>
      <c r="M456" s="69">
        <f>IF(A456="","",IFERROR(INDEX(Bestand!$AC$14:$AC$213,MATCH(A456,Bestand!$A$14:$A$213,0)),0))</f>
        <v/>
      </c>
      <c r="N456" s="69">
        <f>IF(OR(H456="",M456&lt;&gt;1),"",C456+ROW()/100000)</f>
        <v/>
      </c>
    </row>
    <row r="457" ht="20" customHeight="1">
      <c r="A457" s="60" t="n"/>
      <c r="B457" s="65">
        <f>IF(A457="","",IFERROR(INDEX(Bestand!$B$14:$B$213,MATCH(A457,Bestand!$A$14:$A$213,0)),"ID unbekannt"))</f>
        <v/>
      </c>
      <c r="C457" s="63" t="n"/>
      <c r="D457" s="62" t="n"/>
      <c r="E457" s="60" t="n"/>
      <c r="F457" s="60" t="n"/>
      <c r="G457" s="61" t="n"/>
      <c r="H457" s="69">
        <f>IF(OR(A457="",C457=""),"",COUNTIFS($A$7:$A$1006,A457,$C$7:$C$1006,"&lt;"&amp;C457)+1)</f>
        <v/>
      </c>
      <c r="I457" s="67">
        <f>IF(H457="","",IF(H457=1,"",C457-_xlfn.MAXIFS($C$7:$C$1006,$A$7:$A$1006,A457,$C$7:$C$1006,"&lt;"&amp;C457)))</f>
        <v/>
      </c>
      <c r="J457" s="68">
        <f>IF(I457="","",I457/TpM)</f>
        <v/>
      </c>
      <c r="K457" s="69">
        <f>IF(H457="","",COUNTIFS($A$7:$A$1006,A457,$C$7:$C$1006,"&gt;0")-H457)</f>
        <v/>
      </c>
      <c r="L457" s="69">
        <f>IF(H457="","",A457&amp;"|"&amp;H457)</f>
        <v/>
      </c>
      <c r="M457" s="69">
        <f>IF(A457="","",IFERROR(INDEX(Bestand!$AC$14:$AC$213,MATCH(A457,Bestand!$A$14:$A$213,0)),0))</f>
        <v/>
      </c>
      <c r="N457" s="69">
        <f>IF(OR(H457="",M457&lt;&gt;1),"",C457+ROW()/100000)</f>
        <v/>
      </c>
    </row>
    <row r="458" ht="20" customHeight="1">
      <c r="A458" s="60" t="n"/>
      <c r="B458" s="65">
        <f>IF(A458="","",IFERROR(INDEX(Bestand!$B$14:$B$213,MATCH(A458,Bestand!$A$14:$A$213,0)),"ID unbekannt"))</f>
        <v/>
      </c>
      <c r="C458" s="63" t="n"/>
      <c r="D458" s="62" t="n"/>
      <c r="E458" s="60" t="n"/>
      <c r="F458" s="60" t="n"/>
      <c r="G458" s="61" t="n"/>
      <c r="H458" s="69">
        <f>IF(OR(A458="",C458=""),"",COUNTIFS($A$7:$A$1006,A458,$C$7:$C$1006,"&lt;"&amp;C458)+1)</f>
        <v/>
      </c>
      <c r="I458" s="67">
        <f>IF(H458="","",IF(H458=1,"",C458-_xlfn.MAXIFS($C$7:$C$1006,$A$7:$A$1006,A458,$C$7:$C$1006,"&lt;"&amp;C458)))</f>
        <v/>
      </c>
      <c r="J458" s="68">
        <f>IF(I458="","",I458/TpM)</f>
        <v/>
      </c>
      <c r="K458" s="69">
        <f>IF(H458="","",COUNTIFS($A$7:$A$1006,A458,$C$7:$C$1006,"&gt;0")-H458)</f>
        <v/>
      </c>
      <c r="L458" s="69">
        <f>IF(H458="","",A458&amp;"|"&amp;H458)</f>
        <v/>
      </c>
      <c r="M458" s="69">
        <f>IF(A458="","",IFERROR(INDEX(Bestand!$AC$14:$AC$213,MATCH(A458,Bestand!$A$14:$A$213,0)),0))</f>
        <v/>
      </c>
      <c r="N458" s="69">
        <f>IF(OR(H458="",M458&lt;&gt;1),"",C458+ROW()/100000)</f>
        <v/>
      </c>
    </row>
    <row r="459" ht="20" customHeight="1">
      <c r="A459" s="60" t="n"/>
      <c r="B459" s="65">
        <f>IF(A459="","",IFERROR(INDEX(Bestand!$B$14:$B$213,MATCH(A459,Bestand!$A$14:$A$213,0)),"ID unbekannt"))</f>
        <v/>
      </c>
      <c r="C459" s="63" t="n"/>
      <c r="D459" s="62" t="n"/>
      <c r="E459" s="60" t="n"/>
      <c r="F459" s="60" t="n"/>
      <c r="G459" s="61" t="n"/>
      <c r="H459" s="69">
        <f>IF(OR(A459="",C459=""),"",COUNTIFS($A$7:$A$1006,A459,$C$7:$C$1006,"&lt;"&amp;C459)+1)</f>
        <v/>
      </c>
      <c r="I459" s="67">
        <f>IF(H459="","",IF(H459=1,"",C459-_xlfn.MAXIFS($C$7:$C$1006,$A$7:$A$1006,A459,$C$7:$C$1006,"&lt;"&amp;C459)))</f>
        <v/>
      </c>
      <c r="J459" s="68">
        <f>IF(I459="","",I459/TpM)</f>
        <v/>
      </c>
      <c r="K459" s="69">
        <f>IF(H459="","",COUNTIFS($A$7:$A$1006,A459,$C$7:$C$1006,"&gt;0")-H459)</f>
        <v/>
      </c>
      <c r="L459" s="69">
        <f>IF(H459="","",A459&amp;"|"&amp;H459)</f>
        <v/>
      </c>
      <c r="M459" s="69">
        <f>IF(A459="","",IFERROR(INDEX(Bestand!$AC$14:$AC$213,MATCH(A459,Bestand!$A$14:$A$213,0)),0))</f>
        <v/>
      </c>
      <c r="N459" s="69">
        <f>IF(OR(H459="",M459&lt;&gt;1),"",C459+ROW()/100000)</f>
        <v/>
      </c>
    </row>
    <row r="460" ht="20" customHeight="1">
      <c r="A460" s="60" t="n"/>
      <c r="B460" s="65">
        <f>IF(A460="","",IFERROR(INDEX(Bestand!$B$14:$B$213,MATCH(A460,Bestand!$A$14:$A$213,0)),"ID unbekannt"))</f>
        <v/>
      </c>
      <c r="C460" s="63" t="n"/>
      <c r="D460" s="62" t="n"/>
      <c r="E460" s="60" t="n"/>
      <c r="F460" s="60" t="n"/>
      <c r="G460" s="61" t="n"/>
      <c r="H460" s="69">
        <f>IF(OR(A460="",C460=""),"",COUNTIFS($A$7:$A$1006,A460,$C$7:$C$1006,"&lt;"&amp;C460)+1)</f>
        <v/>
      </c>
      <c r="I460" s="67">
        <f>IF(H460="","",IF(H460=1,"",C460-_xlfn.MAXIFS($C$7:$C$1006,$A$7:$A$1006,A460,$C$7:$C$1006,"&lt;"&amp;C460)))</f>
        <v/>
      </c>
      <c r="J460" s="68">
        <f>IF(I460="","",I460/TpM)</f>
        <v/>
      </c>
      <c r="K460" s="69">
        <f>IF(H460="","",COUNTIFS($A$7:$A$1006,A460,$C$7:$C$1006,"&gt;0")-H460)</f>
        <v/>
      </c>
      <c r="L460" s="69">
        <f>IF(H460="","",A460&amp;"|"&amp;H460)</f>
        <v/>
      </c>
      <c r="M460" s="69">
        <f>IF(A460="","",IFERROR(INDEX(Bestand!$AC$14:$AC$213,MATCH(A460,Bestand!$A$14:$A$213,0)),0))</f>
        <v/>
      </c>
      <c r="N460" s="69">
        <f>IF(OR(H460="",M460&lt;&gt;1),"",C460+ROW()/100000)</f>
        <v/>
      </c>
    </row>
    <row r="461" ht="20" customHeight="1">
      <c r="A461" s="60" t="n"/>
      <c r="B461" s="65">
        <f>IF(A461="","",IFERROR(INDEX(Bestand!$B$14:$B$213,MATCH(A461,Bestand!$A$14:$A$213,0)),"ID unbekannt"))</f>
        <v/>
      </c>
      <c r="C461" s="63" t="n"/>
      <c r="D461" s="62" t="n"/>
      <c r="E461" s="60" t="n"/>
      <c r="F461" s="60" t="n"/>
      <c r="G461" s="61" t="n"/>
      <c r="H461" s="69">
        <f>IF(OR(A461="",C461=""),"",COUNTIFS($A$7:$A$1006,A461,$C$7:$C$1006,"&lt;"&amp;C461)+1)</f>
        <v/>
      </c>
      <c r="I461" s="67">
        <f>IF(H461="","",IF(H461=1,"",C461-_xlfn.MAXIFS($C$7:$C$1006,$A$7:$A$1006,A461,$C$7:$C$1006,"&lt;"&amp;C461)))</f>
        <v/>
      </c>
      <c r="J461" s="68">
        <f>IF(I461="","",I461/TpM)</f>
        <v/>
      </c>
      <c r="K461" s="69">
        <f>IF(H461="","",COUNTIFS($A$7:$A$1006,A461,$C$7:$C$1006,"&gt;0")-H461)</f>
        <v/>
      </c>
      <c r="L461" s="69">
        <f>IF(H461="","",A461&amp;"|"&amp;H461)</f>
        <v/>
      </c>
      <c r="M461" s="69">
        <f>IF(A461="","",IFERROR(INDEX(Bestand!$AC$14:$AC$213,MATCH(A461,Bestand!$A$14:$A$213,0)),0))</f>
        <v/>
      </c>
      <c r="N461" s="69">
        <f>IF(OR(H461="",M461&lt;&gt;1),"",C461+ROW()/100000)</f>
        <v/>
      </c>
    </row>
    <row r="462" ht="20" customHeight="1">
      <c r="A462" s="60" t="n"/>
      <c r="B462" s="65">
        <f>IF(A462="","",IFERROR(INDEX(Bestand!$B$14:$B$213,MATCH(A462,Bestand!$A$14:$A$213,0)),"ID unbekannt"))</f>
        <v/>
      </c>
      <c r="C462" s="63" t="n"/>
      <c r="D462" s="62" t="n"/>
      <c r="E462" s="60" t="n"/>
      <c r="F462" s="60" t="n"/>
      <c r="G462" s="61" t="n"/>
      <c r="H462" s="69">
        <f>IF(OR(A462="",C462=""),"",COUNTIFS($A$7:$A$1006,A462,$C$7:$C$1006,"&lt;"&amp;C462)+1)</f>
        <v/>
      </c>
      <c r="I462" s="67">
        <f>IF(H462="","",IF(H462=1,"",C462-_xlfn.MAXIFS($C$7:$C$1006,$A$7:$A$1006,A462,$C$7:$C$1006,"&lt;"&amp;C462)))</f>
        <v/>
      </c>
      <c r="J462" s="68">
        <f>IF(I462="","",I462/TpM)</f>
        <v/>
      </c>
      <c r="K462" s="69">
        <f>IF(H462="","",COUNTIFS($A$7:$A$1006,A462,$C$7:$C$1006,"&gt;0")-H462)</f>
        <v/>
      </c>
      <c r="L462" s="69">
        <f>IF(H462="","",A462&amp;"|"&amp;H462)</f>
        <v/>
      </c>
      <c r="M462" s="69">
        <f>IF(A462="","",IFERROR(INDEX(Bestand!$AC$14:$AC$213,MATCH(A462,Bestand!$A$14:$A$213,0)),0))</f>
        <v/>
      </c>
      <c r="N462" s="69">
        <f>IF(OR(H462="",M462&lt;&gt;1),"",C462+ROW()/100000)</f>
        <v/>
      </c>
    </row>
    <row r="463" ht="20" customHeight="1">
      <c r="A463" s="60" t="n"/>
      <c r="B463" s="65">
        <f>IF(A463="","",IFERROR(INDEX(Bestand!$B$14:$B$213,MATCH(A463,Bestand!$A$14:$A$213,0)),"ID unbekannt"))</f>
        <v/>
      </c>
      <c r="C463" s="63" t="n"/>
      <c r="D463" s="62" t="n"/>
      <c r="E463" s="60" t="n"/>
      <c r="F463" s="60" t="n"/>
      <c r="G463" s="61" t="n"/>
      <c r="H463" s="69">
        <f>IF(OR(A463="",C463=""),"",COUNTIFS($A$7:$A$1006,A463,$C$7:$C$1006,"&lt;"&amp;C463)+1)</f>
        <v/>
      </c>
      <c r="I463" s="67">
        <f>IF(H463="","",IF(H463=1,"",C463-_xlfn.MAXIFS($C$7:$C$1006,$A$7:$A$1006,A463,$C$7:$C$1006,"&lt;"&amp;C463)))</f>
        <v/>
      </c>
      <c r="J463" s="68">
        <f>IF(I463="","",I463/TpM)</f>
        <v/>
      </c>
      <c r="K463" s="69">
        <f>IF(H463="","",COUNTIFS($A$7:$A$1006,A463,$C$7:$C$1006,"&gt;0")-H463)</f>
        <v/>
      </c>
      <c r="L463" s="69">
        <f>IF(H463="","",A463&amp;"|"&amp;H463)</f>
        <v/>
      </c>
      <c r="M463" s="69">
        <f>IF(A463="","",IFERROR(INDEX(Bestand!$AC$14:$AC$213,MATCH(A463,Bestand!$A$14:$A$213,0)),0))</f>
        <v/>
      </c>
      <c r="N463" s="69">
        <f>IF(OR(H463="",M463&lt;&gt;1),"",C463+ROW()/100000)</f>
        <v/>
      </c>
    </row>
    <row r="464" ht="20" customHeight="1">
      <c r="A464" s="60" t="n"/>
      <c r="B464" s="65">
        <f>IF(A464="","",IFERROR(INDEX(Bestand!$B$14:$B$213,MATCH(A464,Bestand!$A$14:$A$213,0)),"ID unbekannt"))</f>
        <v/>
      </c>
      <c r="C464" s="63" t="n"/>
      <c r="D464" s="62" t="n"/>
      <c r="E464" s="60" t="n"/>
      <c r="F464" s="60" t="n"/>
      <c r="G464" s="61" t="n"/>
      <c r="H464" s="69">
        <f>IF(OR(A464="",C464=""),"",COUNTIFS($A$7:$A$1006,A464,$C$7:$C$1006,"&lt;"&amp;C464)+1)</f>
        <v/>
      </c>
      <c r="I464" s="67">
        <f>IF(H464="","",IF(H464=1,"",C464-_xlfn.MAXIFS($C$7:$C$1006,$A$7:$A$1006,A464,$C$7:$C$1006,"&lt;"&amp;C464)))</f>
        <v/>
      </c>
      <c r="J464" s="68">
        <f>IF(I464="","",I464/TpM)</f>
        <v/>
      </c>
      <c r="K464" s="69">
        <f>IF(H464="","",COUNTIFS($A$7:$A$1006,A464,$C$7:$C$1006,"&gt;0")-H464)</f>
        <v/>
      </c>
      <c r="L464" s="69">
        <f>IF(H464="","",A464&amp;"|"&amp;H464)</f>
        <v/>
      </c>
      <c r="M464" s="69">
        <f>IF(A464="","",IFERROR(INDEX(Bestand!$AC$14:$AC$213,MATCH(A464,Bestand!$A$14:$A$213,0)),0))</f>
        <v/>
      </c>
      <c r="N464" s="69">
        <f>IF(OR(H464="",M464&lt;&gt;1),"",C464+ROW()/100000)</f>
        <v/>
      </c>
    </row>
    <row r="465" ht="20" customHeight="1">
      <c r="A465" s="60" t="n"/>
      <c r="B465" s="65">
        <f>IF(A465="","",IFERROR(INDEX(Bestand!$B$14:$B$213,MATCH(A465,Bestand!$A$14:$A$213,0)),"ID unbekannt"))</f>
        <v/>
      </c>
      <c r="C465" s="63" t="n"/>
      <c r="D465" s="62" t="n"/>
      <c r="E465" s="60" t="n"/>
      <c r="F465" s="60" t="n"/>
      <c r="G465" s="61" t="n"/>
      <c r="H465" s="69">
        <f>IF(OR(A465="",C465=""),"",COUNTIFS($A$7:$A$1006,A465,$C$7:$C$1006,"&lt;"&amp;C465)+1)</f>
        <v/>
      </c>
      <c r="I465" s="67">
        <f>IF(H465="","",IF(H465=1,"",C465-_xlfn.MAXIFS($C$7:$C$1006,$A$7:$A$1006,A465,$C$7:$C$1006,"&lt;"&amp;C465)))</f>
        <v/>
      </c>
      <c r="J465" s="68">
        <f>IF(I465="","",I465/TpM)</f>
        <v/>
      </c>
      <c r="K465" s="69">
        <f>IF(H465="","",COUNTIFS($A$7:$A$1006,A465,$C$7:$C$1006,"&gt;0")-H465)</f>
        <v/>
      </c>
      <c r="L465" s="69">
        <f>IF(H465="","",A465&amp;"|"&amp;H465)</f>
        <v/>
      </c>
      <c r="M465" s="69">
        <f>IF(A465="","",IFERROR(INDEX(Bestand!$AC$14:$AC$213,MATCH(A465,Bestand!$A$14:$A$213,0)),0))</f>
        <v/>
      </c>
      <c r="N465" s="69">
        <f>IF(OR(H465="",M465&lt;&gt;1),"",C465+ROW()/100000)</f>
        <v/>
      </c>
    </row>
    <row r="466" ht="20" customHeight="1">
      <c r="A466" s="60" t="n"/>
      <c r="B466" s="65">
        <f>IF(A466="","",IFERROR(INDEX(Bestand!$B$14:$B$213,MATCH(A466,Bestand!$A$14:$A$213,0)),"ID unbekannt"))</f>
        <v/>
      </c>
      <c r="C466" s="63" t="n"/>
      <c r="D466" s="62" t="n"/>
      <c r="E466" s="60" t="n"/>
      <c r="F466" s="60" t="n"/>
      <c r="G466" s="61" t="n"/>
      <c r="H466" s="69">
        <f>IF(OR(A466="",C466=""),"",COUNTIFS($A$7:$A$1006,A466,$C$7:$C$1006,"&lt;"&amp;C466)+1)</f>
        <v/>
      </c>
      <c r="I466" s="67">
        <f>IF(H466="","",IF(H466=1,"",C466-_xlfn.MAXIFS($C$7:$C$1006,$A$7:$A$1006,A466,$C$7:$C$1006,"&lt;"&amp;C466)))</f>
        <v/>
      </c>
      <c r="J466" s="68">
        <f>IF(I466="","",I466/TpM)</f>
        <v/>
      </c>
      <c r="K466" s="69">
        <f>IF(H466="","",COUNTIFS($A$7:$A$1006,A466,$C$7:$C$1006,"&gt;0")-H466)</f>
        <v/>
      </c>
      <c r="L466" s="69">
        <f>IF(H466="","",A466&amp;"|"&amp;H466)</f>
        <v/>
      </c>
      <c r="M466" s="69">
        <f>IF(A466="","",IFERROR(INDEX(Bestand!$AC$14:$AC$213,MATCH(A466,Bestand!$A$14:$A$213,0)),0))</f>
        <v/>
      </c>
      <c r="N466" s="69">
        <f>IF(OR(H466="",M466&lt;&gt;1),"",C466+ROW()/100000)</f>
        <v/>
      </c>
    </row>
    <row r="467" ht="20" customHeight="1">
      <c r="A467" s="60" t="n"/>
      <c r="B467" s="65">
        <f>IF(A467="","",IFERROR(INDEX(Bestand!$B$14:$B$213,MATCH(A467,Bestand!$A$14:$A$213,0)),"ID unbekannt"))</f>
        <v/>
      </c>
      <c r="C467" s="63" t="n"/>
      <c r="D467" s="62" t="n"/>
      <c r="E467" s="60" t="n"/>
      <c r="F467" s="60" t="n"/>
      <c r="G467" s="61" t="n"/>
      <c r="H467" s="69">
        <f>IF(OR(A467="",C467=""),"",COUNTIFS($A$7:$A$1006,A467,$C$7:$C$1006,"&lt;"&amp;C467)+1)</f>
        <v/>
      </c>
      <c r="I467" s="67">
        <f>IF(H467="","",IF(H467=1,"",C467-_xlfn.MAXIFS($C$7:$C$1006,$A$7:$A$1006,A467,$C$7:$C$1006,"&lt;"&amp;C467)))</f>
        <v/>
      </c>
      <c r="J467" s="68">
        <f>IF(I467="","",I467/TpM)</f>
        <v/>
      </c>
      <c r="K467" s="69">
        <f>IF(H467="","",COUNTIFS($A$7:$A$1006,A467,$C$7:$C$1006,"&gt;0")-H467)</f>
        <v/>
      </c>
      <c r="L467" s="69">
        <f>IF(H467="","",A467&amp;"|"&amp;H467)</f>
        <v/>
      </c>
      <c r="M467" s="69">
        <f>IF(A467="","",IFERROR(INDEX(Bestand!$AC$14:$AC$213,MATCH(A467,Bestand!$A$14:$A$213,0)),0))</f>
        <v/>
      </c>
      <c r="N467" s="69">
        <f>IF(OR(H467="",M467&lt;&gt;1),"",C467+ROW()/100000)</f>
        <v/>
      </c>
    </row>
    <row r="468" ht="20" customHeight="1">
      <c r="A468" s="60" t="n"/>
      <c r="B468" s="65">
        <f>IF(A468="","",IFERROR(INDEX(Bestand!$B$14:$B$213,MATCH(A468,Bestand!$A$14:$A$213,0)),"ID unbekannt"))</f>
        <v/>
      </c>
      <c r="C468" s="63" t="n"/>
      <c r="D468" s="62" t="n"/>
      <c r="E468" s="60" t="n"/>
      <c r="F468" s="60" t="n"/>
      <c r="G468" s="61" t="n"/>
      <c r="H468" s="69">
        <f>IF(OR(A468="",C468=""),"",COUNTIFS($A$7:$A$1006,A468,$C$7:$C$1006,"&lt;"&amp;C468)+1)</f>
        <v/>
      </c>
      <c r="I468" s="67">
        <f>IF(H468="","",IF(H468=1,"",C468-_xlfn.MAXIFS($C$7:$C$1006,$A$7:$A$1006,A468,$C$7:$C$1006,"&lt;"&amp;C468)))</f>
        <v/>
      </c>
      <c r="J468" s="68">
        <f>IF(I468="","",I468/TpM)</f>
        <v/>
      </c>
      <c r="K468" s="69">
        <f>IF(H468="","",COUNTIFS($A$7:$A$1006,A468,$C$7:$C$1006,"&gt;0")-H468)</f>
        <v/>
      </c>
      <c r="L468" s="69">
        <f>IF(H468="","",A468&amp;"|"&amp;H468)</f>
        <v/>
      </c>
      <c r="M468" s="69">
        <f>IF(A468="","",IFERROR(INDEX(Bestand!$AC$14:$AC$213,MATCH(A468,Bestand!$A$14:$A$213,0)),0))</f>
        <v/>
      </c>
      <c r="N468" s="69">
        <f>IF(OR(H468="",M468&lt;&gt;1),"",C468+ROW()/100000)</f>
        <v/>
      </c>
    </row>
    <row r="469" ht="20" customHeight="1">
      <c r="A469" s="60" t="n"/>
      <c r="B469" s="65">
        <f>IF(A469="","",IFERROR(INDEX(Bestand!$B$14:$B$213,MATCH(A469,Bestand!$A$14:$A$213,0)),"ID unbekannt"))</f>
        <v/>
      </c>
      <c r="C469" s="63" t="n"/>
      <c r="D469" s="62" t="n"/>
      <c r="E469" s="60" t="n"/>
      <c r="F469" s="60" t="n"/>
      <c r="G469" s="61" t="n"/>
      <c r="H469" s="69">
        <f>IF(OR(A469="",C469=""),"",COUNTIFS($A$7:$A$1006,A469,$C$7:$C$1006,"&lt;"&amp;C469)+1)</f>
        <v/>
      </c>
      <c r="I469" s="67">
        <f>IF(H469="","",IF(H469=1,"",C469-_xlfn.MAXIFS($C$7:$C$1006,$A$7:$A$1006,A469,$C$7:$C$1006,"&lt;"&amp;C469)))</f>
        <v/>
      </c>
      <c r="J469" s="68">
        <f>IF(I469="","",I469/TpM)</f>
        <v/>
      </c>
      <c r="K469" s="69">
        <f>IF(H469="","",COUNTIFS($A$7:$A$1006,A469,$C$7:$C$1006,"&gt;0")-H469)</f>
        <v/>
      </c>
      <c r="L469" s="69">
        <f>IF(H469="","",A469&amp;"|"&amp;H469)</f>
        <v/>
      </c>
      <c r="M469" s="69">
        <f>IF(A469="","",IFERROR(INDEX(Bestand!$AC$14:$AC$213,MATCH(A469,Bestand!$A$14:$A$213,0)),0))</f>
        <v/>
      </c>
      <c r="N469" s="69">
        <f>IF(OR(H469="",M469&lt;&gt;1),"",C469+ROW()/100000)</f>
        <v/>
      </c>
    </row>
    <row r="470" ht="20" customHeight="1">
      <c r="A470" s="60" t="n"/>
      <c r="B470" s="65">
        <f>IF(A470="","",IFERROR(INDEX(Bestand!$B$14:$B$213,MATCH(A470,Bestand!$A$14:$A$213,0)),"ID unbekannt"))</f>
        <v/>
      </c>
      <c r="C470" s="63" t="n"/>
      <c r="D470" s="62" t="n"/>
      <c r="E470" s="60" t="n"/>
      <c r="F470" s="60" t="n"/>
      <c r="G470" s="61" t="n"/>
      <c r="H470" s="69">
        <f>IF(OR(A470="",C470=""),"",COUNTIFS($A$7:$A$1006,A470,$C$7:$C$1006,"&lt;"&amp;C470)+1)</f>
        <v/>
      </c>
      <c r="I470" s="67">
        <f>IF(H470="","",IF(H470=1,"",C470-_xlfn.MAXIFS($C$7:$C$1006,$A$7:$A$1006,A470,$C$7:$C$1006,"&lt;"&amp;C470)))</f>
        <v/>
      </c>
      <c r="J470" s="68">
        <f>IF(I470="","",I470/TpM)</f>
        <v/>
      </c>
      <c r="K470" s="69">
        <f>IF(H470="","",COUNTIFS($A$7:$A$1006,A470,$C$7:$C$1006,"&gt;0")-H470)</f>
        <v/>
      </c>
      <c r="L470" s="69">
        <f>IF(H470="","",A470&amp;"|"&amp;H470)</f>
        <v/>
      </c>
      <c r="M470" s="69">
        <f>IF(A470="","",IFERROR(INDEX(Bestand!$AC$14:$AC$213,MATCH(A470,Bestand!$A$14:$A$213,0)),0))</f>
        <v/>
      </c>
      <c r="N470" s="69">
        <f>IF(OR(H470="",M470&lt;&gt;1),"",C470+ROW()/100000)</f>
        <v/>
      </c>
    </row>
    <row r="471" ht="20" customHeight="1">
      <c r="A471" s="60" t="n"/>
      <c r="B471" s="65">
        <f>IF(A471="","",IFERROR(INDEX(Bestand!$B$14:$B$213,MATCH(A471,Bestand!$A$14:$A$213,0)),"ID unbekannt"))</f>
        <v/>
      </c>
      <c r="C471" s="63" t="n"/>
      <c r="D471" s="62" t="n"/>
      <c r="E471" s="60" t="n"/>
      <c r="F471" s="60" t="n"/>
      <c r="G471" s="61" t="n"/>
      <c r="H471" s="69">
        <f>IF(OR(A471="",C471=""),"",COUNTIFS($A$7:$A$1006,A471,$C$7:$C$1006,"&lt;"&amp;C471)+1)</f>
        <v/>
      </c>
      <c r="I471" s="67">
        <f>IF(H471="","",IF(H471=1,"",C471-_xlfn.MAXIFS($C$7:$C$1006,$A$7:$A$1006,A471,$C$7:$C$1006,"&lt;"&amp;C471)))</f>
        <v/>
      </c>
      <c r="J471" s="68">
        <f>IF(I471="","",I471/TpM)</f>
        <v/>
      </c>
      <c r="K471" s="69">
        <f>IF(H471="","",COUNTIFS($A$7:$A$1006,A471,$C$7:$C$1006,"&gt;0")-H471)</f>
        <v/>
      </c>
      <c r="L471" s="69">
        <f>IF(H471="","",A471&amp;"|"&amp;H471)</f>
        <v/>
      </c>
      <c r="M471" s="69">
        <f>IF(A471="","",IFERROR(INDEX(Bestand!$AC$14:$AC$213,MATCH(A471,Bestand!$A$14:$A$213,0)),0))</f>
        <v/>
      </c>
      <c r="N471" s="69">
        <f>IF(OR(H471="",M471&lt;&gt;1),"",C471+ROW()/100000)</f>
        <v/>
      </c>
    </row>
    <row r="472" ht="20" customHeight="1">
      <c r="A472" s="60" t="n"/>
      <c r="B472" s="65">
        <f>IF(A472="","",IFERROR(INDEX(Bestand!$B$14:$B$213,MATCH(A472,Bestand!$A$14:$A$213,0)),"ID unbekannt"))</f>
        <v/>
      </c>
      <c r="C472" s="63" t="n"/>
      <c r="D472" s="62" t="n"/>
      <c r="E472" s="60" t="n"/>
      <c r="F472" s="60" t="n"/>
      <c r="G472" s="61" t="n"/>
      <c r="H472" s="69">
        <f>IF(OR(A472="",C472=""),"",COUNTIFS($A$7:$A$1006,A472,$C$7:$C$1006,"&lt;"&amp;C472)+1)</f>
        <v/>
      </c>
      <c r="I472" s="67">
        <f>IF(H472="","",IF(H472=1,"",C472-_xlfn.MAXIFS($C$7:$C$1006,$A$7:$A$1006,A472,$C$7:$C$1006,"&lt;"&amp;C472)))</f>
        <v/>
      </c>
      <c r="J472" s="68">
        <f>IF(I472="","",I472/TpM)</f>
        <v/>
      </c>
      <c r="K472" s="69">
        <f>IF(H472="","",COUNTIFS($A$7:$A$1006,A472,$C$7:$C$1006,"&gt;0")-H472)</f>
        <v/>
      </c>
      <c r="L472" s="69">
        <f>IF(H472="","",A472&amp;"|"&amp;H472)</f>
        <v/>
      </c>
      <c r="M472" s="69">
        <f>IF(A472="","",IFERROR(INDEX(Bestand!$AC$14:$AC$213,MATCH(A472,Bestand!$A$14:$A$213,0)),0))</f>
        <v/>
      </c>
      <c r="N472" s="69">
        <f>IF(OR(H472="",M472&lt;&gt;1),"",C472+ROW()/100000)</f>
        <v/>
      </c>
    </row>
    <row r="473" ht="20" customHeight="1">
      <c r="A473" s="60" t="n"/>
      <c r="B473" s="65">
        <f>IF(A473="","",IFERROR(INDEX(Bestand!$B$14:$B$213,MATCH(A473,Bestand!$A$14:$A$213,0)),"ID unbekannt"))</f>
        <v/>
      </c>
      <c r="C473" s="63" t="n"/>
      <c r="D473" s="62" t="n"/>
      <c r="E473" s="60" t="n"/>
      <c r="F473" s="60" t="n"/>
      <c r="G473" s="61" t="n"/>
      <c r="H473" s="69">
        <f>IF(OR(A473="",C473=""),"",COUNTIFS($A$7:$A$1006,A473,$C$7:$C$1006,"&lt;"&amp;C473)+1)</f>
        <v/>
      </c>
      <c r="I473" s="67">
        <f>IF(H473="","",IF(H473=1,"",C473-_xlfn.MAXIFS($C$7:$C$1006,$A$7:$A$1006,A473,$C$7:$C$1006,"&lt;"&amp;C473)))</f>
        <v/>
      </c>
      <c r="J473" s="68">
        <f>IF(I473="","",I473/TpM)</f>
        <v/>
      </c>
      <c r="K473" s="69">
        <f>IF(H473="","",COUNTIFS($A$7:$A$1006,A473,$C$7:$C$1006,"&gt;0")-H473)</f>
        <v/>
      </c>
      <c r="L473" s="69">
        <f>IF(H473="","",A473&amp;"|"&amp;H473)</f>
        <v/>
      </c>
      <c r="M473" s="69">
        <f>IF(A473="","",IFERROR(INDEX(Bestand!$AC$14:$AC$213,MATCH(A473,Bestand!$A$14:$A$213,0)),0))</f>
        <v/>
      </c>
      <c r="N473" s="69">
        <f>IF(OR(H473="",M473&lt;&gt;1),"",C473+ROW()/100000)</f>
        <v/>
      </c>
    </row>
    <row r="474" ht="20" customHeight="1">
      <c r="A474" s="60" t="n"/>
      <c r="B474" s="65">
        <f>IF(A474="","",IFERROR(INDEX(Bestand!$B$14:$B$213,MATCH(A474,Bestand!$A$14:$A$213,0)),"ID unbekannt"))</f>
        <v/>
      </c>
      <c r="C474" s="63" t="n"/>
      <c r="D474" s="62" t="n"/>
      <c r="E474" s="60" t="n"/>
      <c r="F474" s="60" t="n"/>
      <c r="G474" s="61" t="n"/>
      <c r="H474" s="69">
        <f>IF(OR(A474="",C474=""),"",COUNTIFS($A$7:$A$1006,A474,$C$7:$C$1006,"&lt;"&amp;C474)+1)</f>
        <v/>
      </c>
      <c r="I474" s="67">
        <f>IF(H474="","",IF(H474=1,"",C474-_xlfn.MAXIFS($C$7:$C$1006,$A$7:$A$1006,A474,$C$7:$C$1006,"&lt;"&amp;C474)))</f>
        <v/>
      </c>
      <c r="J474" s="68">
        <f>IF(I474="","",I474/TpM)</f>
        <v/>
      </c>
      <c r="K474" s="69">
        <f>IF(H474="","",COUNTIFS($A$7:$A$1006,A474,$C$7:$C$1006,"&gt;0")-H474)</f>
        <v/>
      </c>
      <c r="L474" s="69">
        <f>IF(H474="","",A474&amp;"|"&amp;H474)</f>
        <v/>
      </c>
      <c r="M474" s="69">
        <f>IF(A474="","",IFERROR(INDEX(Bestand!$AC$14:$AC$213,MATCH(A474,Bestand!$A$14:$A$213,0)),0))</f>
        <v/>
      </c>
      <c r="N474" s="69">
        <f>IF(OR(H474="",M474&lt;&gt;1),"",C474+ROW()/100000)</f>
        <v/>
      </c>
    </row>
    <row r="475" ht="20" customHeight="1">
      <c r="A475" s="60" t="n"/>
      <c r="B475" s="65">
        <f>IF(A475="","",IFERROR(INDEX(Bestand!$B$14:$B$213,MATCH(A475,Bestand!$A$14:$A$213,0)),"ID unbekannt"))</f>
        <v/>
      </c>
      <c r="C475" s="63" t="n"/>
      <c r="D475" s="62" t="n"/>
      <c r="E475" s="60" t="n"/>
      <c r="F475" s="60" t="n"/>
      <c r="G475" s="61" t="n"/>
      <c r="H475" s="69">
        <f>IF(OR(A475="",C475=""),"",COUNTIFS($A$7:$A$1006,A475,$C$7:$C$1006,"&lt;"&amp;C475)+1)</f>
        <v/>
      </c>
      <c r="I475" s="67">
        <f>IF(H475="","",IF(H475=1,"",C475-_xlfn.MAXIFS($C$7:$C$1006,$A$7:$A$1006,A475,$C$7:$C$1006,"&lt;"&amp;C475)))</f>
        <v/>
      </c>
      <c r="J475" s="68">
        <f>IF(I475="","",I475/TpM)</f>
        <v/>
      </c>
      <c r="K475" s="69">
        <f>IF(H475="","",COUNTIFS($A$7:$A$1006,A475,$C$7:$C$1006,"&gt;0")-H475)</f>
        <v/>
      </c>
      <c r="L475" s="69">
        <f>IF(H475="","",A475&amp;"|"&amp;H475)</f>
        <v/>
      </c>
      <c r="M475" s="69">
        <f>IF(A475="","",IFERROR(INDEX(Bestand!$AC$14:$AC$213,MATCH(A475,Bestand!$A$14:$A$213,0)),0))</f>
        <v/>
      </c>
      <c r="N475" s="69">
        <f>IF(OR(H475="",M475&lt;&gt;1),"",C475+ROW()/100000)</f>
        <v/>
      </c>
    </row>
    <row r="476" ht="20" customHeight="1">
      <c r="A476" s="60" t="n"/>
      <c r="B476" s="65">
        <f>IF(A476="","",IFERROR(INDEX(Bestand!$B$14:$B$213,MATCH(A476,Bestand!$A$14:$A$213,0)),"ID unbekannt"))</f>
        <v/>
      </c>
      <c r="C476" s="63" t="n"/>
      <c r="D476" s="62" t="n"/>
      <c r="E476" s="60" t="n"/>
      <c r="F476" s="60" t="n"/>
      <c r="G476" s="61" t="n"/>
      <c r="H476" s="69">
        <f>IF(OR(A476="",C476=""),"",COUNTIFS($A$7:$A$1006,A476,$C$7:$C$1006,"&lt;"&amp;C476)+1)</f>
        <v/>
      </c>
      <c r="I476" s="67">
        <f>IF(H476="","",IF(H476=1,"",C476-_xlfn.MAXIFS($C$7:$C$1006,$A$7:$A$1006,A476,$C$7:$C$1006,"&lt;"&amp;C476)))</f>
        <v/>
      </c>
      <c r="J476" s="68">
        <f>IF(I476="","",I476/TpM)</f>
        <v/>
      </c>
      <c r="K476" s="69">
        <f>IF(H476="","",COUNTIFS($A$7:$A$1006,A476,$C$7:$C$1006,"&gt;0")-H476)</f>
        <v/>
      </c>
      <c r="L476" s="69">
        <f>IF(H476="","",A476&amp;"|"&amp;H476)</f>
        <v/>
      </c>
      <c r="M476" s="69">
        <f>IF(A476="","",IFERROR(INDEX(Bestand!$AC$14:$AC$213,MATCH(A476,Bestand!$A$14:$A$213,0)),0))</f>
        <v/>
      </c>
      <c r="N476" s="69">
        <f>IF(OR(H476="",M476&lt;&gt;1),"",C476+ROW()/100000)</f>
        <v/>
      </c>
    </row>
    <row r="477" ht="20" customHeight="1">
      <c r="A477" s="60" t="n"/>
      <c r="B477" s="65">
        <f>IF(A477="","",IFERROR(INDEX(Bestand!$B$14:$B$213,MATCH(A477,Bestand!$A$14:$A$213,0)),"ID unbekannt"))</f>
        <v/>
      </c>
      <c r="C477" s="63" t="n"/>
      <c r="D477" s="62" t="n"/>
      <c r="E477" s="60" t="n"/>
      <c r="F477" s="60" t="n"/>
      <c r="G477" s="61" t="n"/>
      <c r="H477" s="69">
        <f>IF(OR(A477="",C477=""),"",COUNTIFS($A$7:$A$1006,A477,$C$7:$C$1006,"&lt;"&amp;C477)+1)</f>
        <v/>
      </c>
      <c r="I477" s="67">
        <f>IF(H477="","",IF(H477=1,"",C477-_xlfn.MAXIFS($C$7:$C$1006,$A$7:$A$1006,A477,$C$7:$C$1006,"&lt;"&amp;C477)))</f>
        <v/>
      </c>
      <c r="J477" s="68">
        <f>IF(I477="","",I477/TpM)</f>
        <v/>
      </c>
      <c r="K477" s="69">
        <f>IF(H477="","",COUNTIFS($A$7:$A$1006,A477,$C$7:$C$1006,"&gt;0")-H477)</f>
        <v/>
      </c>
      <c r="L477" s="69">
        <f>IF(H477="","",A477&amp;"|"&amp;H477)</f>
        <v/>
      </c>
      <c r="M477" s="69">
        <f>IF(A477="","",IFERROR(INDEX(Bestand!$AC$14:$AC$213,MATCH(A477,Bestand!$A$14:$A$213,0)),0))</f>
        <v/>
      </c>
      <c r="N477" s="69">
        <f>IF(OR(H477="",M477&lt;&gt;1),"",C477+ROW()/100000)</f>
        <v/>
      </c>
    </row>
    <row r="478" ht="20" customHeight="1">
      <c r="A478" s="60" t="n"/>
      <c r="B478" s="65">
        <f>IF(A478="","",IFERROR(INDEX(Bestand!$B$14:$B$213,MATCH(A478,Bestand!$A$14:$A$213,0)),"ID unbekannt"))</f>
        <v/>
      </c>
      <c r="C478" s="63" t="n"/>
      <c r="D478" s="62" t="n"/>
      <c r="E478" s="60" t="n"/>
      <c r="F478" s="60" t="n"/>
      <c r="G478" s="61" t="n"/>
      <c r="H478" s="69">
        <f>IF(OR(A478="",C478=""),"",COUNTIFS($A$7:$A$1006,A478,$C$7:$C$1006,"&lt;"&amp;C478)+1)</f>
        <v/>
      </c>
      <c r="I478" s="67">
        <f>IF(H478="","",IF(H478=1,"",C478-_xlfn.MAXIFS($C$7:$C$1006,$A$7:$A$1006,A478,$C$7:$C$1006,"&lt;"&amp;C478)))</f>
        <v/>
      </c>
      <c r="J478" s="68">
        <f>IF(I478="","",I478/TpM)</f>
        <v/>
      </c>
      <c r="K478" s="69">
        <f>IF(H478="","",COUNTIFS($A$7:$A$1006,A478,$C$7:$C$1006,"&gt;0")-H478)</f>
        <v/>
      </c>
      <c r="L478" s="69">
        <f>IF(H478="","",A478&amp;"|"&amp;H478)</f>
        <v/>
      </c>
      <c r="M478" s="69">
        <f>IF(A478="","",IFERROR(INDEX(Bestand!$AC$14:$AC$213,MATCH(A478,Bestand!$A$14:$A$213,0)),0))</f>
        <v/>
      </c>
      <c r="N478" s="69">
        <f>IF(OR(H478="",M478&lt;&gt;1),"",C478+ROW()/100000)</f>
        <v/>
      </c>
    </row>
    <row r="479" ht="20" customHeight="1">
      <c r="A479" s="60" t="n"/>
      <c r="B479" s="65">
        <f>IF(A479="","",IFERROR(INDEX(Bestand!$B$14:$B$213,MATCH(A479,Bestand!$A$14:$A$213,0)),"ID unbekannt"))</f>
        <v/>
      </c>
      <c r="C479" s="63" t="n"/>
      <c r="D479" s="62" t="n"/>
      <c r="E479" s="60" t="n"/>
      <c r="F479" s="60" t="n"/>
      <c r="G479" s="61" t="n"/>
      <c r="H479" s="69">
        <f>IF(OR(A479="",C479=""),"",COUNTIFS($A$7:$A$1006,A479,$C$7:$C$1006,"&lt;"&amp;C479)+1)</f>
        <v/>
      </c>
      <c r="I479" s="67">
        <f>IF(H479="","",IF(H479=1,"",C479-_xlfn.MAXIFS($C$7:$C$1006,$A$7:$A$1006,A479,$C$7:$C$1006,"&lt;"&amp;C479)))</f>
        <v/>
      </c>
      <c r="J479" s="68">
        <f>IF(I479="","",I479/TpM)</f>
        <v/>
      </c>
      <c r="K479" s="69">
        <f>IF(H479="","",COUNTIFS($A$7:$A$1006,A479,$C$7:$C$1006,"&gt;0")-H479)</f>
        <v/>
      </c>
      <c r="L479" s="69">
        <f>IF(H479="","",A479&amp;"|"&amp;H479)</f>
        <v/>
      </c>
      <c r="M479" s="69">
        <f>IF(A479="","",IFERROR(INDEX(Bestand!$AC$14:$AC$213,MATCH(A479,Bestand!$A$14:$A$213,0)),0))</f>
        <v/>
      </c>
      <c r="N479" s="69">
        <f>IF(OR(H479="",M479&lt;&gt;1),"",C479+ROW()/100000)</f>
        <v/>
      </c>
    </row>
    <row r="480" ht="20" customHeight="1">
      <c r="A480" s="60" t="n"/>
      <c r="B480" s="65">
        <f>IF(A480="","",IFERROR(INDEX(Bestand!$B$14:$B$213,MATCH(A480,Bestand!$A$14:$A$213,0)),"ID unbekannt"))</f>
        <v/>
      </c>
      <c r="C480" s="63" t="n"/>
      <c r="D480" s="62" t="n"/>
      <c r="E480" s="60" t="n"/>
      <c r="F480" s="60" t="n"/>
      <c r="G480" s="61" t="n"/>
      <c r="H480" s="69">
        <f>IF(OR(A480="",C480=""),"",COUNTIFS($A$7:$A$1006,A480,$C$7:$C$1006,"&lt;"&amp;C480)+1)</f>
        <v/>
      </c>
      <c r="I480" s="67">
        <f>IF(H480="","",IF(H480=1,"",C480-_xlfn.MAXIFS($C$7:$C$1006,$A$7:$A$1006,A480,$C$7:$C$1006,"&lt;"&amp;C480)))</f>
        <v/>
      </c>
      <c r="J480" s="68">
        <f>IF(I480="","",I480/TpM)</f>
        <v/>
      </c>
      <c r="K480" s="69">
        <f>IF(H480="","",COUNTIFS($A$7:$A$1006,A480,$C$7:$C$1006,"&gt;0")-H480)</f>
        <v/>
      </c>
      <c r="L480" s="69">
        <f>IF(H480="","",A480&amp;"|"&amp;H480)</f>
        <v/>
      </c>
      <c r="M480" s="69">
        <f>IF(A480="","",IFERROR(INDEX(Bestand!$AC$14:$AC$213,MATCH(A480,Bestand!$A$14:$A$213,0)),0))</f>
        <v/>
      </c>
      <c r="N480" s="69">
        <f>IF(OR(H480="",M480&lt;&gt;1),"",C480+ROW()/100000)</f>
        <v/>
      </c>
    </row>
    <row r="481" ht="20" customHeight="1">
      <c r="A481" s="60" t="n"/>
      <c r="B481" s="65">
        <f>IF(A481="","",IFERROR(INDEX(Bestand!$B$14:$B$213,MATCH(A481,Bestand!$A$14:$A$213,0)),"ID unbekannt"))</f>
        <v/>
      </c>
      <c r="C481" s="63" t="n"/>
      <c r="D481" s="62" t="n"/>
      <c r="E481" s="60" t="n"/>
      <c r="F481" s="60" t="n"/>
      <c r="G481" s="61" t="n"/>
      <c r="H481" s="69">
        <f>IF(OR(A481="",C481=""),"",COUNTIFS($A$7:$A$1006,A481,$C$7:$C$1006,"&lt;"&amp;C481)+1)</f>
        <v/>
      </c>
      <c r="I481" s="67">
        <f>IF(H481="","",IF(H481=1,"",C481-_xlfn.MAXIFS($C$7:$C$1006,$A$7:$A$1006,A481,$C$7:$C$1006,"&lt;"&amp;C481)))</f>
        <v/>
      </c>
      <c r="J481" s="68">
        <f>IF(I481="","",I481/TpM)</f>
        <v/>
      </c>
      <c r="K481" s="69">
        <f>IF(H481="","",COUNTIFS($A$7:$A$1006,A481,$C$7:$C$1006,"&gt;0")-H481)</f>
        <v/>
      </c>
      <c r="L481" s="69">
        <f>IF(H481="","",A481&amp;"|"&amp;H481)</f>
        <v/>
      </c>
      <c r="M481" s="69">
        <f>IF(A481="","",IFERROR(INDEX(Bestand!$AC$14:$AC$213,MATCH(A481,Bestand!$A$14:$A$213,0)),0))</f>
        <v/>
      </c>
      <c r="N481" s="69">
        <f>IF(OR(H481="",M481&lt;&gt;1),"",C481+ROW()/100000)</f>
        <v/>
      </c>
    </row>
    <row r="482" ht="20" customHeight="1">
      <c r="A482" s="60" t="n"/>
      <c r="B482" s="65">
        <f>IF(A482="","",IFERROR(INDEX(Bestand!$B$14:$B$213,MATCH(A482,Bestand!$A$14:$A$213,0)),"ID unbekannt"))</f>
        <v/>
      </c>
      <c r="C482" s="63" t="n"/>
      <c r="D482" s="62" t="n"/>
      <c r="E482" s="60" t="n"/>
      <c r="F482" s="60" t="n"/>
      <c r="G482" s="61" t="n"/>
      <c r="H482" s="69">
        <f>IF(OR(A482="",C482=""),"",COUNTIFS($A$7:$A$1006,A482,$C$7:$C$1006,"&lt;"&amp;C482)+1)</f>
        <v/>
      </c>
      <c r="I482" s="67">
        <f>IF(H482="","",IF(H482=1,"",C482-_xlfn.MAXIFS($C$7:$C$1006,$A$7:$A$1006,A482,$C$7:$C$1006,"&lt;"&amp;C482)))</f>
        <v/>
      </c>
      <c r="J482" s="68">
        <f>IF(I482="","",I482/TpM)</f>
        <v/>
      </c>
      <c r="K482" s="69">
        <f>IF(H482="","",COUNTIFS($A$7:$A$1006,A482,$C$7:$C$1006,"&gt;0")-H482)</f>
        <v/>
      </c>
      <c r="L482" s="69">
        <f>IF(H482="","",A482&amp;"|"&amp;H482)</f>
        <v/>
      </c>
      <c r="M482" s="69">
        <f>IF(A482="","",IFERROR(INDEX(Bestand!$AC$14:$AC$213,MATCH(A482,Bestand!$A$14:$A$213,0)),0))</f>
        <v/>
      </c>
      <c r="N482" s="69">
        <f>IF(OR(H482="",M482&lt;&gt;1),"",C482+ROW()/100000)</f>
        <v/>
      </c>
    </row>
    <row r="483" ht="20" customHeight="1">
      <c r="A483" s="60" t="n"/>
      <c r="B483" s="65">
        <f>IF(A483="","",IFERROR(INDEX(Bestand!$B$14:$B$213,MATCH(A483,Bestand!$A$14:$A$213,0)),"ID unbekannt"))</f>
        <v/>
      </c>
      <c r="C483" s="63" t="n"/>
      <c r="D483" s="62" t="n"/>
      <c r="E483" s="60" t="n"/>
      <c r="F483" s="60" t="n"/>
      <c r="G483" s="61" t="n"/>
      <c r="H483" s="69">
        <f>IF(OR(A483="",C483=""),"",COUNTIFS($A$7:$A$1006,A483,$C$7:$C$1006,"&lt;"&amp;C483)+1)</f>
        <v/>
      </c>
      <c r="I483" s="67">
        <f>IF(H483="","",IF(H483=1,"",C483-_xlfn.MAXIFS($C$7:$C$1006,$A$7:$A$1006,A483,$C$7:$C$1006,"&lt;"&amp;C483)))</f>
        <v/>
      </c>
      <c r="J483" s="68">
        <f>IF(I483="","",I483/TpM)</f>
        <v/>
      </c>
      <c r="K483" s="69">
        <f>IF(H483="","",COUNTIFS($A$7:$A$1006,A483,$C$7:$C$1006,"&gt;0")-H483)</f>
        <v/>
      </c>
      <c r="L483" s="69">
        <f>IF(H483="","",A483&amp;"|"&amp;H483)</f>
        <v/>
      </c>
      <c r="M483" s="69">
        <f>IF(A483="","",IFERROR(INDEX(Bestand!$AC$14:$AC$213,MATCH(A483,Bestand!$A$14:$A$213,0)),0))</f>
        <v/>
      </c>
      <c r="N483" s="69">
        <f>IF(OR(H483="",M483&lt;&gt;1),"",C483+ROW()/100000)</f>
        <v/>
      </c>
    </row>
    <row r="484" ht="20" customHeight="1">
      <c r="A484" s="60" t="n"/>
      <c r="B484" s="65">
        <f>IF(A484="","",IFERROR(INDEX(Bestand!$B$14:$B$213,MATCH(A484,Bestand!$A$14:$A$213,0)),"ID unbekannt"))</f>
        <v/>
      </c>
      <c r="C484" s="63" t="n"/>
      <c r="D484" s="62" t="n"/>
      <c r="E484" s="60" t="n"/>
      <c r="F484" s="60" t="n"/>
      <c r="G484" s="61" t="n"/>
      <c r="H484" s="69">
        <f>IF(OR(A484="",C484=""),"",COUNTIFS($A$7:$A$1006,A484,$C$7:$C$1006,"&lt;"&amp;C484)+1)</f>
        <v/>
      </c>
      <c r="I484" s="67">
        <f>IF(H484="","",IF(H484=1,"",C484-_xlfn.MAXIFS($C$7:$C$1006,$A$7:$A$1006,A484,$C$7:$C$1006,"&lt;"&amp;C484)))</f>
        <v/>
      </c>
      <c r="J484" s="68">
        <f>IF(I484="","",I484/TpM)</f>
        <v/>
      </c>
      <c r="K484" s="69">
        <f>IF(H484="","",COUNTIFS($A$7:$A$1006,A484,$C$7:$C$1006,"&gt;0")-H484)</f>
        <v/>
      </c>
      <c r="L484" s="69">
        <f>IF(H484="","",A484&amp;"|"&amp;H484)</f>
        <v/>
      </c>
      <c r="M484" s="69">
        <f>IF(A484="","",IFERROR(INDEX(Bestand!$AC$14:$AC$213,MATCH(A484,Bestand!$A$14:$A$213,0)),0))</f>
        <v/>
      </c>
      <c r="N484" s="69">
        <f>IF(OR(H484="",M484&lt;&gt;1),"",C484+ROW()/100000)</f>
        <v/>
      </c>
    </row>
    <row r="485" ht="20" customHeight="1">
      <c r="A485" s="60" t="n"/>
      <c r="B485" s="65">
        <f>IF(A485="","",IFERROR(INDEX(Bestand!$B$14:$B$213,MATCH(A485,Bestand!$A$14:$A$213,0)),"ID unbekannt"))</f>
        <v/>
      </c>
      <c r="C485" s="63" t="n"/>
      <c r="D485" s="62" t="n"/>
      <c r="E485" s="60" t="n"/>
      <c r="F485" s="60" t="n"/>
      <c r="G485" s="61" t="n"/>
      <c r="H485" s="69">
        <f>IF(OR(A485="",C485=""),"",COUNTIFS($A$7:$A$1006,A485,$C$7:$C$1006,"&lt;"&amp;C485)+1)</f>
        <v/>
      </c>
      <c r="I485" s="67">
        <f>IF(H485="","",IF(H485=1,"",C485-_xlfn.MAXIFS($C$7:$C$1006,$A$7:$A$1006,A485,$C$7:$C$1006,"&lt;"&amp;C485)))</f>
        <v/>
      </c>
      <c r="J485" s="68">
        <f>IF(I485="","",I485/TpM)</f>
        <v/>
      </c>
      <c r="K485" s="69">
        <f>IF(H485="","",COUNTIFS($A$7:$A$1006,A485,$C$7:$C$1006,"&gt;0")-H485)</f>
        <v/>
      </c>
      <c r="L485" s="69">
        <f>IF(H485="","",A485&amp;"|"&amp;H485)</f>
        <v/>
      </c>
      <c r="M485" s="69">
        <f>IF(A485="","",IFERROR(INDEX(Bestand!$AC$14:$AC$213,MATCH(A485,Bestand!$A$14:$A$213,0)),0))</f>
        <v/>
      </c>
      <c r="N485" s="69">
        <f>IF(OR(H485="",M485&lt;&gt;1),"",C485+ROW()/100000)</f>
        <v/>
      </c>
    </row>
    <row r="486" ht="20" customHeight="1">
      <c r="A486" s="60" t="n"/>
      <c r="B486" s="65">
        <f>IF(A486="","",IFERROR(INDEX(Bestand!$B$14:$B$213,MATCH(A486,Bestand!$A$14:$A$213,0)),"ID unbekannt"))</f>
        <v/>
      </c>
      <c r="C486" s="63" t="n"/>
      <c r="D486" s="62" t="n"/>
      <c r="E486" s="60" t="n"/>
      <c r="F486" s="60" t="n"/>
      <c r="G486" s="61" t="n"/>
      <c r="H486" s="69">
        <f>IF(OR(A486="",C486=""),"",COUNTIFS($A$7:$A$1006,A486,$C$7:$C$1006,"&lt;"&amp;C486)+1)</f>
        <v/>
      </c>
      <c r="I486" s="67">
        <f>IF(H486="","",IF(H486=1,"",C486-_xlfn.MAXIFS($C$7:$C$1006,$A$7:$A$1006,A486,$C$7:$C$1006,"&lt;"&amp;C486)))</f>
        <v/>
      </c>
      <c r="J486" s="68">
        <f>IF(I486="","",I486/TpM)</f>
        <v/>
      </c>
      <c r="K486" s="69">
        <f>IF(H486="","",COUNTIFS($A$7:$A$1006,A486,$C$7:$C$1006,"&gt;0")-H486)</f>
        <v/>
      </c>
      <c r="L486" s="69">
        <f>IF(H486="","",A486&amp;"|"&amp;H486)</f>
        <v/>
      </c>
      <c r="M486" s="69">
        <f>IF(A486="","",IFERROR(INDEX(Bestand!$AC$14:$AC$213,MATCH(A486,Bestand!$A$14:$A$213,0)),0))</f>
        <v/>
      </c>
      <c r="N486" s="69">
        <f>IF(OR(H486="",M486&lt;&gt;1),"",C486+ROW()/100000)</f>
        <v/>
      </c>
    </row>
    <row r="487" ht="20" customHeight="1">
      <c r="A487" s="60" t="n"/>
      <c r="B487" s="65">
        <f>IF(A487="","",IFERROR(INDEX(Bestand!$B$14:$B$213,MATCH(A487,Bestand!$A$14:$A$213,0)),"ID unbekannt"))</f>
        <v/>
      </c>
      <c r="C487" s="63" t="n"/>
      <c r="D487" s="62" t="n"/>
      <c r="E487" s="60" t="n"/>
      <c r="F487" s="60" t="n"/>
      <c r="G487" s="61" t="n"/>
      <c r="H487" s="69">
        <f>IF(OR(A487="",C487=""),"",COUNTIFS($A$7:$A$1006,A487,$C$7:$C$1006,"&lt;"&amp;C487)+1)</f>
        <v/>
      </c>
      <c r="I487" s="67">
        <f>IF(H487="","",IF(H487=1,"",C487-_xlfn.MAXIFS($C$7:$C$1006,$A$7:$A$1006,A487,$C$7:$C$1006,"&lt;"&amp;C487)))</f>
        <v/>
      </c>
      <c r="J487" s="68">
        <f>IF(I487="","",I487/TpM)</f>
        <v/>
      </c>
      <c r="K487" s="69">
        <f>IF(H487="","",COUNTIFS($A$7:$A$1006,A487,$C$7:$C$1006,"&gt;0")-H487)</f>
        <v/>
      </c>
      <c r="L487" s="69">
        <f>IF(H487="","",A487&amp;"|"&amp;H487)</f>
        <v/>
      </c>
      <c r="M487" s="69">
        <f>IF(A487="","",IFERROR(INDEX(Bestand!$AC$14:$AC$213,MATCH(A487,Bestand!$A$14:$A$213,0)),0))</f>
        <v/>
      </c>
      <c r="N487" s="69">
        <f>IF(OR(H487="",M487&lt;&gt;1),"",C487+ROW()/100000)</f>
        <v/>
      </c>
    </row>
    <row r="488" ht="20" customHeight="1">
      <c r="A488" s="60" t="n"/>
      <c r="B488" s="65">
        <f>IF(A488="","",IFERROR(INDEX(Bestand!$B$14:$B$213,MATCH(A488,Bestand!$A$14:$A$213,0)),"ID unbekannt"))</f>
        <v/>
      </c>
      <c r="C488" s="63" t="n"/>
      <c r="D488" s="62" t="n"/>
      <c r="E488" s="60" t="n"/>
      <c r="F488" s="60" t="n"/>
      <c r="G488" s="61" t="n"/>
      <c r="H488" s="69">
        <f>IF(OR(A488="",C488=""),"",COUNTIFS($A$7:$A$1006,A488,$C$7:$C$1006,"&lt;"&amp;C488)+1)</f>
        <v/>
      </c>
      <c r="I488" s="67">
        <f>IF(H488="","",IF(H488=1,"",C488-_xlfn.MAXIFS($C$7:$C$1006,$A$7:$A$1006,A488,$C$7:$C$1006,"&lt;"&amp;C488)))</f>
        <v/>
      </c>
      <c r="J488" s="68">
        <f>IF(I488="","",I488/TpM)</f>
        <v/>
      </c>
      <c r="K488" s="69">
        <f>IF(H488="","",COUNTIFS($A$7:$A$1006,A488,$C$7:$C$1006,"&gt;0")-H488)</f>
        <v/>
      </c>
      <c r="L488" s="69">
        <f>IF(H488="","",A488&amp;"|"&amp;H488)</f>
        <v/>
      </c>
      <c r="M488" s="69">
        <f>IF(A488="","",IFERROR(INDEX(Bestand!$AC$14:$AC$213,MATCH(A488,Bestand!$A$14:$A$213,0)),0))</f>
        <v/>
      </c>
      <c r="N488" s="69">
        <f>IF(OR(H488="",M488&lt;&gt;1),"",C488+ROW()/100000)</f>
        <v/>
      </c>
    </row>
    <row r="489" ht="20" customHeight="1">
      <c r="A489" s="60" t="n"/>
      <c r="B489" s="65">
        <f>IF(A489="","",IFERROR(INDEX(Bestand!$B$14:$B$213,MATCH(A489,Bestand!$A$14:$A$213,0)),"ID unbekannt"))</f>
        <v/>
      </c>
      <c r="C489" s="63" t="n"/>
      <c r="D489" s="62" t="n"/>
      <c r="E489" s="60" t="n"/>
      <c r="F489" s="60" t="n"/>
      <c r="G489" s="61" t="n"/>
      <c r="H489" s="69">
        <f>IF(OR(A489="",C489=""),"",COUNTIFS($A$7:$A$1006,A489,$C$7:$C$1006,"&lt;"&amp;C489)+1)</f>
        <v/>
      </c>
      <c r="I489" s="67">
        <f>IF(H489="","",IF(H489=1,"",C489-_xlfn.MAXIFS($C$7:$C$1006,$A$7:$A$1006,A489,$C$7:$C$1006,"&lt;"&amp;C489)))</f>
        <v/>
      </c>
      <c r="J489" s="68">
        <f>IF(I489="","",I489/TpM)</f>
        <v/>
      </c>
      <c r="K489" s="69">
        <f>IF(H489="","",COUNTIFS($A$7:$A$1006,A489,$C$7:$C$1006,"&gt;0")-H489)</f>
        <v/>
      </c>
      <c r="L489" s="69">
        <f>IF(H489="","",A489&amp;"|"&amp;H489)</f>
        <v/>
      </c>
      <c r="M489" s="69">
        <f>IF(A489="","",IFERROR(INDEX(Bestand!$AC$14:$AC$213,MATCH(A489,Bestand!$A$14:$A$213,0)),0))</f>
        <v/>
      </c>
      <c r="N489" s="69">
        <f>IF(OR(H489="",M489&lt;&gt;1),"",C489+ROW()/100000)</f>
        <v/>
      </c>
    </row>
    <row r="490" ht="20" customHeight="1">
      <c r="A490" s="60" t="n"/>
      <c r="B490" s="65">
        <f>IF(A490="","",IFERROR(INDEX(Bestand!$B$14:$B$213,MATCH(A490,Bestand!$A$14:$A$213,0)),"ID unbekannt"))</f>
        <v/>
      </c>
      <c r="C490" s="63" t="n"/>
      <c r="D490" s="62" t="n"/>
      <c r="E490" s="60" t="n"/>
      <c r="F490" s="60" t="n"/>
      <c r="G490" s="61" t="n"/>
      <c r="H490" s="69">
        <f>IF(OR(A490="",C490=""),"",COUNTIFS($A$7:$A$1006,A490,$C$7:$C$1006,"&lt;"&amp;C490)+1)</f>
        <v/>
      </c>
      <c r="I490" s="67">
        <f>IF(H490="","",IF(H490=1,"",C490-_xlfn.MAXIFS($C$7:$C$1006,$A$7:$A$1006,A490,$C$7:$C$1006,"&lt;"&amp;C490)))</f>
        <v/>
      </c>
      <c r="J490" s="68">
        <f>IF(I490="","",I490/TpM)</f>
        <v/>
      </c>
      <c r="K490" s="69">
        <f>IF(H490="","",COUNTIFS($A$7:$A$1006,A490,$C$7:$C$1006,"&gt;0")-H490)</f>
        <v/>
      </c>
      <c r="L490" s="69">
        <f>IF(H490="","",A490&amp;"|"&amp;H490)</f>
        <v/>
      </c>
      <c r="M490" s="69">
        <f>IF(A490="","",IFERROR(INDEX(Bestand!$AC$14:$AC$213,MATCH(A490,Bestand!$A$14:$A$213,0)),0))</f>
        <v/>
      </c>
      <c r="N490" s="69">
        <f>IF(OR(H490="",M490&lt;&gt;1),"",C490+ROW()/100000)</f>
        <v/>
      </c>
    </row>
    <row r="491" ht="20" customHeight="1">
      <c r="A491" s="60" t="n"/>
      <c r="B491" s="65">
        <f>IF(A491="","",IFERROR(INDEX(Bestand!$B$14:$B$213,MATCH(A491,Bestand!$A$14:$A$213,0)),"ID unbekannt"))</f>
        <v/>
      </c>
      <c r="C491" s="63" t="n"/>
      <c r="D491" s="62" t="n"/>
      <c r="E491" s="60" t="n"/>
      <c r="F491" s="60" t="n"/>
      <c r="G491" s="61" t="n"/>
      <c r="H491" s="69">
        <f>IF(OR(A491="",C491=""),"",COUNTIFS($A$7:$A$1006,A491,$C$7:$C$1006,"&lt;"&amp;C491)+1)</f>
        <v/>
      </c>
      <c r="I491" s="67">
        <f>IF(H491="","",IF(H491=1,"",C491-_xlfn.MAXIFS($C$7:$C$1006,$A$7:$A$1006,A491,$C$7:$C$1006,"&lt;"&amp;C491)))</f>
        <v/>
      </c>
      <c r="J491" s="68">
        <f>IF(I491="","",I491/TpM)</f>
        <v/>
      </c>
      <c r="K491" s="69">
        <f>IF(H491="","",COUNTIFS($A$7:$A$1006,A491,$C$7:$C$1006,"&gt;0")-H491)</f>
        <v/>
      </c>
      <c r="L491" s="69">
        <f>IF(H491="","",A491&amp;"|"&amp;H491)</f>
        <v/>
      </c>
      <c r="M491" s="69">
        <f>IF(A491="","",IFERROR(INDEX(Bestand!$AC$14:$AC$213,MATCH(A491,Bestand!$A$14:$A$213,0)),0))</f>
        <v/>
      </c>
      <c r="N491" s="69">
        <f>IF(OR(H491="",M491&lt;&gt;1),"",C491+ROW()/100000)</f>
        <v/>
      </c>
    </row>
    <row r="492" ht="20" customHeight="1">
      <c r="A492" s="60" t="n"/>
      <c r="B492" s="65">
        <f>IF(A492="","",IFERROR(INDEX(Bestand!$B$14:$B$213,MATCH(A492,Bestand!$A$14:$A$213,0)),"ID unbekannt"))</f>
        <v/>
      </c>
      <c r="C492" s="63" t="n"/>
      <c r="D492" s="62" t="n"/>
      <c r="E492" s="60" t="n"/>
      <c r="F492" s="60" t="n"/>
      <c r="G492" s="61" t="n"/>
      <c r="H492" s="69">
        <f>IF(OR(A492="",C492=""),"",COUNTIFS($A$7:$A$1006,A492,$C$7:$C$1006,"&lt;"&amp;C492)+1)</f>
        <v/>
      </c>
      <c r="I492" s="67">
        <f>IF(H492="","",IF(H492=1,"",C492-_xlfn.MAXIFS($C$7:$C$1006,$A$7:$A$1006,A492,$C$7:$C$1006,"&lt;"&amp;C492)))</f>
        <v/>
      </c>
      <c r="J492" s="68">
        <f>IF(I492="","",I492/TpM)</f>
        <v/>
      </c>
      <c r="K492" s="69">
        <f>IF(H492="","",COUNTIFS($A$7:$A$1006,A492,$C$7:$C$1006,"&gt;0")-H492)</f>
        <v/>
      </c>
      <c r="L492" s="69">
        <f>IF(H492="","",A492&amp;"|"&amp;H492)</f>
        <v/>
      </c>
      <c r="M492" s="69">
        <f>IF(A492="","",IFERROR(INDEX(Bestand!$AC$14:$AC$213,MATCH(A492,Bestand!$A$14:$A$213,0)),0))</f>
        <v/>
      </c>
      <c r="N492" s="69">
        <f>IF(OR(H492="",M492&lt;&gt;1),"",C492+ROW()/100000)</f>
        <v/>
      </c>
    </row>
    <row r="493" ht="20" customHeight="1">
      <c r="A493" s="60" t="n"/>
      <c r="B493" s="65">
        <f>IF(A493="","",IFERROR(INDEX(Bestand!$B$14:$B$213,MATCH(A493,Bestand!$A$14:$A$213,0)),"ID unbekannt"))</f>
        <v/>
      </c>
      <c r="C493" s="63" t="n"/>
      <c r="D493" s="62" t="n"/>
      <c r="E493" s="60" t="n"/>
      <c r="F493" s="60" t="n"/>
      <c r="G493" s="61" t="n"/>
      <c r="H493" s="69">
        <f>IF(OR(A493="",C493=""),"",COUNTIFS($A$7:$A$1006,A493,$C$7:$C$1006,"&lt;"&amp;C493)+1)</f>
        <v/>
      </c>
      <c r="I493" s="67">
        <f>IF(H493="","",IF(H493=1,"",C493-_xlfn.MAXIFS($C$7:$C$1006,$A$7:$A$1006,A493,$C$7:$C$1006,"&lt;"&amp;C493)))</f>
        <v/>
      </c>
      <c r="J493" s="68">
        <f>IF(I493="","",I493/TpM)</f>
        <v/>
      </c>
      <c r="K493" s="69">
        <f>IF(H493="","",COUNTIFS($A$7:$A$1006,A493,$C$7:$C$1006,"&gt;0")-H493)</f>
        <v/>
      </c>
      <c r="L493" s="69">
        <f>IF(H493="","",A493&amp;"|"&amp;H493)</f>
        <v/>
      </c>
      <c r="M493" s="69">
        <f>IF(A493="","",IFERROR(INDEX(Bestand!$AC$14:$AC$213,MATCH(A493,Bestand!$A$14:$A$213,0)),0))</f>
        <v/>
      </c>
      <c r="N493" s="69">
        <f>IF(OR(H493="",M493&lt;&gt;1),"",C493+ROW()/100000)</f>
        <v/>
      </c>
    </row>
    <row r="494" ht="20" customHeight="1">
      <c r="A494" s="60" t="n"/>
      <c r="B494" s="65">
        <f>IF(A494="","",IFERROR(INDEX(Bestand!$B$14:$B$213,MATCH(A494,Bestand!$A$14:$A$213,0)),"ID unbekannt"))</f>
        <v/>
      </c>
      <c r="C494" s="63" t="n"/>
      <c r="D494" s="62" t="n"/>
      <c r="E494" s="60" t="n"/>
      <c r="F494" s="60" t="n"/>
      <c r="G494" s="61" t="n"/>
      <c r="H494" s="69">
        <f>IF(OR(A494="",C494=""),"",COUNTIFS($A$7:$A$1006,A494,$C$7:$C$1006,"&lt;"&amp;C494)+1)</f>
        <v/>
      </c>
      <c r="I494" s="67">
        <f>IF(H494="","",IF(H494=1,"",C494-_xlfn.MAXIFS($C$7:$C$1006,$A$7:$A$1006,A494,$C$7:$C$1006,"&lt;"&amp;C494)))</f>
        <v/>
      </c>
      <c r="J494" s="68">
        <f>IF(I494="","",I494/TpM)</f>
        <v/>
      </c>
      <c r="K494" s="69">
        <f>IF(H494="","",COUNTIFS($A$7:$A$1006,A494,$C$7:$C$1006,"&gt;0")-H494)</f>
        <v/>
      </c>
      <c r="L494" s="69">
        <f>IF(H494="","",A494&amp;"|"&amp;H494)</f>
        <v/>
      </c>
      <c r="M494" s="69">
        <f>IF(A494="","",IFERROR(INDEX(Bestand!$AC$14:$AC$213,MATCH(A494,Bestand!$A$14:$A$213,0)),0))</f>
        <v/>
      </c>
      <c r="N494" s="69">
        <f>IF(OR(H494="",M494&lt;&gt;1),"",C494+ROW()/100000)</f>
        <v/>
      </c>
    </row>
    <row r="495" ht="20" customHeight="1">
      <c r="A495" s="60" t="n"/>
      <c r="B495" s="65">
        <f>IF(A495="","",IFERROR(INDEX(Bestand!$B$14:$B$213,MATCH(A495,Bestand!$A$14:$A$213,0)),"ID unbekannt"))</f>
        <v/>
      </c>
      <c r="C495" s="63" t="n"/>
      <c r="D495" s="62" t="n"/>
      <c r="E495" s="60" t="n"/>
      <c r="F495" s="60" t="n"/>
      <c r="G495" s="61" t="n"/>
      <c r="H495" s="69">
        <f>IF(OR(A495="",C495=""),"",COUNTIFS($A$7:$A$1006,A495,$C$7:$C$1006,"&lt;"&amp;C495)+1)</f>
        <v/>
      </c>
      <c r="I495" s="67">
        <f>IF(H495="","",IF(H495=1,"",C495-_xlfn.MAXIFS($C$7:$C$1006,$A$7:$A$1006,A495,$C$7:$C$1006,"&lt;"&amp;C495)))</f>
        <v/>
      </c>
      <c r="J495" s="68">
        <f>IF(I495="","",I495/TpM)</f>
        <v/>
      </c>
      <c r="K495" s="69">
        <f>IF(H495="","",COUNTIFS($A$7:$A$1006,A495,$C$7:$C$1006,"&gt;0")-H495)</f>
        <v/>
      </c>
      <c r="L495" s="69">
        <f>IF(H495="","",A495&amp;"|"&amp;H495)</f>
        <v/>
      </c>
      <c r="M495" s="69">
        <f>IF(A495="","",IFERROR(INDEX(Bestand!$AC$14:$AC$213,MATCH(A495,Bestand!$A$14:$A$213,0)),0))</f>
        <v/>
      </c>
      <c r="N495" s="69">
        <f>IF(OR(H495="",M495&lt;&gt;1),"",C495+ROW()/100000)</f>
        <v/>
      </c>
    </row>
    <row r="496" ht="20" customHeight="1">
      <c r="A496" s="60" t="n"/>
      <c r="B496" s="65">
        <f>IF(A496="","",IFERROR(INDEX(Bestand!$B$14:$B$213,MATCH(A496,Bestand!$A$14:$A$213,0)),"ID unbekannt"))</f>
        <v/>
      </c>
      <c r="C496" s="63" t="n"/>
      <c r="D496" s="62" t="n"/>
      <c r="E496" s="60" t="n"/>
      <c r="F496" s="60" t="n"/>
      <c r="G496" s="61" t="n"/>
      <c r="H496" s="69">
        <f>IF(OR(A496="",C496=""),"",COUNTIFS($A$7:$A$1006,A496,$C$7:$C$1006,"&lt;"&amp;C496)+1)</f>
        <v/>
      </c>
      <c r="I496" s="67">
        <f>IF(H496="","",IF(H496=1,"",C496-_xlfn.MAXIFS($C$7:$C$1006,$A$7:$A$1006,A496,$C$7:$C$1006,"&lt;"&amp;C496)))</f>
        <v/>
      </c>
      <c r="J496" s="68">
        <f>IF(I496="","",I496/TpM)</f>
        <v/>
      </c>
      <c r="K496" s="69">
        <f>IF(H496="","",COUNTIFS($A$7:$A$1006,A496,$C$7:$C$1006,"&gt;0")-H496)</f>
        <v/>
      </c>
      <c r="L496" s="69">
        <f>IF(H496="","",A496&amp;"|"&amp;H496)</f>
        <v/>
      </c>
      <c r="M496" s="69">
        <f>IF(A496="","",IFERROR(INDEX(Bestand!$AC$14:$AC$213,MATCH(A496,Bestand!$A$14:$A$213,0)),0))</f>
        <v/>
      </c>
      <c r="N496" s="69">
        <f>IF(OR(H496="",M496&lt;&gt;1),"",C496+ROW()/100000)</f>
        <v/>
      </c>
    </row>
    <row r="497" ht="20" customHeight="1">
      <c r="A497" s="60" t="n"/>
      <c r="B497" s="65">
        <f>IF(A497="","",IFERROR(INDEX(Bestand!$B$14:$B$213,MATCH(A497,Bestand!$A$14:$A$213,0)),"ID unbekannt"))</f>
        <v/>
      </c>
      <c r="C497" s="63" t="n"/>
      <c r="D497" s="62" t="n"/>
      <c r="E497" s="60" t="n"/>
      <c r="F497" s="60" t="n"/>
      <c r="G497" s="61" t="n"/>
      <c r="H497" s="69">
        <f>IF(OR(A497="",C497=""),"",COUNTIFS($A$7:$A$1006,A497,$C$7:$C$1006,"&lt;"&amp;C497)+1)</f>
        <v/>
      </c>
      <c r="I497" s="67">
        <f>IF(H497="","",IF(H497=1,"",C497-_xlfn.MAXIFS($C$7:$C$1006,$A$7:$A$1006,A497,$C$7:$C$1006,"&lt;"&amp;C497)))</f>
        <v/>
      </c>
      <c r="J497" s="68">
        <f>IF(I497="","",I497/TpM)</f>
        <v/>
      </c>
      <c r="K497" s="69">
        <f>IF(H497="","",COUNTIFS($A$7:$A$1006,A497,$C$7:$C$1006,"&gt;0")-H497)</f>
        <v/>
      </c>
      <c r="L497" s="69">
        <f>IF(H497="","",A497&amp;"|"&amp;H497)</f>
        <v/>
      </c>
      <c r="M497" s="69">
        <f>IF(A497="","",IFERROR(INDEX(Bestand!$AC$14:$AC$213,MATCH(A497,Bestand!$A$14:$A$213,0)),0))</f>
        <v/>
      </c>
      <c r="N497" s="69">
        <f>IF(OR(H497="",M497&lt;&gt;1),"",C497+ROW()/100000)</f>
        <v/>
      </c>
    </row>
    <row r="498" ht="20" customHeight="1">
      <c r="A498" s="60" t="n"/>
      <c r="B498" s="65">
        <f>IF(A498="","",IFERROR(INDEX(Bestand!$B$14:$B$213,MATCH(A498,Bestand!$A$14:$A$213,0)),"ID unbekannt"))</f>
        <v/>
      </c>
      <c r="C498" s="63" t="n"/>
      <c r="D498" s="62" t="n"/>
      <c r="E498" s="60" t="n"/>
      <c r="F498" s="60" t="n"/>
      <c r="G498" s="61" t="n"/>
      <c r="H498" s="69">
        <f>IF(OR(A498="",C498=""),"",COUNTIFS($A$7:$A$1006,A498,$C$7:$C$1006,"&lt;"&amp;C498)+1)</f>
        <v/>
      </c>
      <c r="I498" s="67">
        <f>IF(H498="","",IF(H498=1,"",C498-_xlfn.MAXIFS($C$7:$C$1006,$A$7:$A$1006,A498,$C$7:$C$1006,"&lt;"&amp;C498)))</f>
        <v/>
      </c>
      <c r="J498" s="68">
        <f>IF(I498="","",I498/TpM)</f>
        <v/>
      </c>
      <c r="K498" s="69">
        <f>IF(H498="","",COUNTIFS($A$7:$A$1006,A498,$C$7:$C$1006,"&gt;0")-H498)</f>
        <v/>
      </c>
      <c r="L498" s="69">
        <f>IF(H498="","",A498&amp;"|"&amp;H498)</f>
        <v/>
      </c>
      <c r="M498" s="69">
        <f>IF(A498="","",IFERROR(INDEX(Bestand!$AC$14:$AC$213,MATCH(A498,Bestand!$A$14:$A$213,0)),0))</f>
        <v/>
      </c>
      <c r="N498" s="69">
        <f>IF(OR(H498="",M498&lt;&gt;1),"",C498+ROW()/100000)</f>
        <v/>
      </c>
    </row>
    <row r="499" ht="20" customHeight="1">
      <c r="A499" s="60" t="n"/>
      <c r="B499" s="65">
        <f>IF(A499="","",IFERROR(INDEX(Bestand!$B$14:$B$213,MATCH(A499,Bestand!$A$14:$A$213,0)),"ID unbekannt"))</f>
        <v/>
      </c>
      <c r="C499" s="63" t="n"/>
      <c r="D499" s="62" t="n"/>
      <c r="E499" s="60" t="n"/>
      <c r="F499" s="60" t="n"/>
      <c r="G499" s="61" t="n"/>
      <c r="H499" s="69">
        <f>IF(OR(A499="",C499=""),"",COUNTIFS($A$7:$A$1006,A499,$C$7:$C$1006,"&lt;"&amp;C499)+1)</f>
        <v/>
      </c>
      <c r="I499" s="67">
        <f>IF(H499="","",IF(H499=1,"",C499-_xlfn.MAXIFS($C$7:$C$1006,$A$7:$A$1006,A499,$C$7:$C$1006,"&lt;"&amp;C499)))</f>
        <v/>
      </c>
      <c r="J499" s="68">
        <f>IF(I499="","",I499/TpM)</f>
        <v/>
      </c>
      <c r="K499" s="69">
        <f>IF(H499="","",COUNTIFS($A$7:$A$1006,A499,$C$7:$C$1006,"&gt;0")-H499)</f>
        <v/>
      </c>
      <c r="L499" s="69">
        <f>IF(H499="","",A499&amp;"|"&amp;H499)</f>
        <v/>
      </c>
      <c r="M499" s="69">
        <f>IF(A499="","",IFERROR(INDEX(Bestand!$AC$14:$AC$213,MATCH(A499,Bestand!$A$14:$A$213,0)),0))</f>
        <v/>
      </c>
      <c r="N499" s="69">
        <f>IF(OR(H499="",M499&lt;&gt;1),"",C499+ROW()/100000)</f>
        <v/>
      </c>
    </row>
    <row r="500" ht="20" customHeight="1">
      <c r="A500" s="60" t="n"/>
      <c r="B500" s="65">
        <f>IF(A500="","",IFERROR(INDEX(Bestand!$B$14:$B$213,MATCH(A500,Bestand!$A$14:$A$213,0)),"ID unbekannt"))</f>
        <v/>
      </c>
      <c r="C500" s="63" t="n"/>
      <c r="D500" s="62" t="n"/>
      <c r="E500" s="60" t="n"/>
      <c r="F500" s="60" t="n"/>
      <c r="G500" s="61" t="n"/>
      <c r="H500" s="69">
        <f>IF(OR(A500="",C500=""),"",COUNTIFS($A$7:$A$1006,A500,$C$7:$C$1006,"&lt;"&amp;C500)+1)</f>
        <v/>
      </c>
      <c r="I500" s="67">
        <f>IF(H500="","",IF(H500=1,"",C500-_xlfn.MAXIFS($C$7:$C$1006,$A$7:$A$1006,A500,$C$7:$C$1006,"&lt;"&amp;C500)))</f>
        <v/>
      </c>
      <c r="J500" s="68">
        <f>IF(I500="","",I500/TpM)</f>
        <v/>
      </c>
      <c r="K500" s="69">
        <f>IF(H500="","",COUNTIFS($A$7:$A$1006,A500,$C$7:$C$1006,"&gt;0")-H500)</f>
        <v/>
      </c>
      <c r="L500" s="69">
        <f>IF(H500="","",A500&amp;"|"&amp;H500)</f>
        <v/>
      </c>
      <c r="M500" s="69">
        <f>IF(A500="","",IFERROR(INDEX(Bestand!$AC$14:$AC$213,MATCH(A500,Bestand!$A$14:$A$213,0)),0))</f>
        <v/>
      </c>
      <c r="N500" s="69">
        <f>IF(OR(H500="",M500&lt;&gt;1),"",C500+ROW()/100000)</f>
        <v/>
      </c>
    </row>
    <row r="501" ht="20" customHeight="1">
      <c r="A501" s="60" t="n"/>
      <c r="B501" s="65">
        <f>IF(A501="","",IFERROR(INDEX(Bestand!$B$14:$B$213,MATCH(A501,Bestand!$A$14:$A$213,0)),"ID unbekannt"))</f>
        <v/>
      </c>
      <c r="C501" s="63" t="n"/>
      <c r="D501" s="62" t="n"/>
      <c r="E501" s="60" t="n"/>
      <c r="F501" s="60" t="n"/>
      <c r="G501" s="61" t="n"/>
      <c r="H501" s="69">
        <f>IF(OR(A501="",C501=""),"",COUNTIFS($A$7:$A$1006,A501,$C$7:$C$1006,"&lt;"&amp;C501)+1)</f>
        <v/>
      </c>
      <c r="I501" s="67">
        <f>IF(H501="","",IF(H501=1,"",C501-_xlfn.MAXIFS($C$7:$C$1006,$A$7:$A$1006,A501,$C$7:$C$1006,"&lt;"&amp;C501)))</f>
        <v/>
      </c>
      <c r="J501" s="68">
        <f>IF(I501="","",I501/TpM)</f>
        <v/>
      </c>
      <c r="K501" s="69">
        <f>IF(H501="","",COUNTIFS($A$7:$A$1006,A501,$C$7:$C$1006,"&gt;0")-H501)</f>
        <v/>
      </c>
      <c r="L501" s="69">
        <f>IF(H501="","",A501&amp;"|"&amp;H501)</f>
        <v/>
      </c>
      <c r="M501" s="69">
        <f>IF(A501="","",IFERROR(INDEX(Bestand!$AC$14:$AC$213,MATCH(A501,Bestand!$A$14:$A$213,0)),0))</f>
        <v/>
      </c>
      <c r="N501" s="69">
        <f>IF(OR(H501="",M501&lt;&gt;1),"",C501+ROW()/100000)</f>
        <v/>
      </c>
    </row>
    <row r="502" ht="20" customHeight="1">
      <c r="A502" s="60" t="n"/>
      <c r="B502" s="65">
        <f>IF(A502="","",IFERROR(INDEX(Bestand!$B$14:$B$213,MATCH(A502,Bestand!$A$14:$A$213,0)),"ID unbekannt"))</f>
        <v/>
      </c>
      <c r="C502" s="63" t="n"/>
      <c r="D502" s="62" t="n"/>
      <c r="E502" s="60" t="n"/>
      <c r="F502" s="60" t="n"/>
      <c r="G502" s="61" t="n"/>
      <c r="H502" s="69">
        <f>IF(OR(A502="",C502=""),"",COUNTIFS($A$7:$A$1006,A502,$C$7:$C$1006,"&lt;"&amp;C502)+1)</f>
        <v/>
      </c>
      <c r="I502" s="67">
        <f>IF(H502="","",IF(H502=1,"",C502-_xlfn.MAXIFS($C$7:$C$1006,$A$7:$A$1006,A502,$C$7:$C$1006,"&lt;"&amp;C502)))</f>
        <v/>
      </c>
      <c r="J502" s="68">
        <f>IF(I502="","",I502/TpM)</f>
        <v/>
      </c>
      <c r="K502" s="69">
        <f>IF(H502="","",COUNTIFS($A$7:$A$1006,A502,$C$7:$C$1006,"&gt;0")-H502)</f>
        <v/>
      </c>
      <c r="L502" s="69">
        <f>IF(H502="","",A502&amp;"|"&amp;H502)</f>
        <v/>
      </c>
      <c r="M502" s="69">
        <f>IF(A502="","",IFERROR(INDEX(Bestand!$AC$14:$AC$213,MATCH(A502,Bestand!$A$14:$A$213,0)),0))</f>
        <v/>
      </c>
      <c r="N502" s="69">
        <f>IF(OR(H502="",M502&lt;&gt;1),"",C502+ROW()/100000)</f>
        <v/>
      </c>
    </row>
    <row r="503" ht="20" customHeight="1">
      <c r="A503" s="60" t="n"/>
      <c r="B503" s="65">
        <f>IF(A503="","",IFERROR(INDEX(Bestand!$B$14:$B$213,MATCH(A503,Bestand!$A$14:$A$213,0)),"ID unbekannt"))</f>
        <v/>
      </c>
      <c r="C503" s="63" t="n"/>
      <c r="D503" s="62" t="n"/>
      <c r="E503" s="60" t="n"/>
      <c r="F503" s="60" t="n"/>
      <c r="G503" s="61" t="n"/>
      <c r="H503" s="69">
        <f>IF(OR(A503="",C503=""),"",COUNTIFS($A$7:$A$1006,A503,$C$7:$C$1006,"&lt;"&amp;C503)+1)</f>
        <v/>
      </c>
      <c r="I503" s="67">
        <f>IF(H503="","",IF(H503=1,"",C503-_xlfn.MAXIFS($C$7:$C$1006,$A$7:$A$1006,A503,$C$7:$C$1006,"&lt;"&amp;C503)))</f>
        <v/>
      </c>
      <c r="J503" s="68">
        <f>IF(I503="","",I503/TpM)</f>
        <v/>
      </c>
      <c r="K503" s="69">
        <f>IF(H503="","",COUNTIFS($A$7:$A$1006,A503,$C$7:$C$1006,"&gt;0")-H503)</f>
        <v/>
      </c>
      <c r="L503" s="69">
        <f>IF(H503="","",A503&amp;"|"&amp;H503)</f>
        <v/>
      </c>
      <c r="M503" s="69">
        <f>IF(A503="","",IFERROR(INDEX(Bestand!$AC$14:$AC$213,MATCH(A503,Bestand!$A$14:$A$213,0)),0))</f>
        <v/>
      </c>
      <c r="N503" s="69">
        <f>IF(OR(H503="",M503&lt;&gt;1),"",C503+ROW()/100000)</f>
        <v/>
      </c>
    </row>
    <row r="504" ht="20" customHeight="1">
      <c r="A504" s="60" t="n"/>
      <c r="B504" s="65">
        <f>IF(A504="","",IFERROR(INDEX(Bestand!$B$14:$B$213,MATCH(A504,Bestand!$A$14:$A$213,0)),"ID unbekannt"))</f>
        <v/>
      </c>
      <c r="C504" s="63" t="n"/>
      <c r="D504" s="62" t="n"/>
      <c r="E504" s="60" t="n"/>
      <c r="F504" s="60" t="n"/>
      <c r="G504" s="61" t="n"/>
      <c r="H504" s="69">
        <f>IF(OR(A504="",C504=""),"",COUNTIFS($A$7:$A$1006,A504,$C$7:$C$1006,"&lt;"&amp;C504)+1)</f>
        <v/>
      </c>
      <c r="I504" s="67">
        <f>IF(H504="","",IF(H504=1,"",C504-_xlfn.MAXIFS($C$7:$C$1006,$A$7:$A$1006,A504,$C$7:$C$1006,"&lt;"&amp;C504)))</f>
        <v/>
      </c>
      <c r="J504" s="68">
        <f>IF(I504="","",I504/TpM)</f>
        <v/>
      </c>
      <c r="K504" s="69">
        <f>IF(H504="","",COUNTIFS($A$7:$A$1006,A504,$C$7:$C$1006,"&gt;0")-H504)</f>
        <v/>
      </c>
      <c r="L504" s="69">
        <f>IF(H504="","",A504&amp;"|"&amp;H504)</f>
        <v/>
      </c>
      <c r="M504" s="69">
        <f>IF(A504="","",IFERROR(INDEX(Bestand!$AC$14:$AC$213,MATCH(A504,Bestand!$A$14:$A$213,0)),0))</f>
        <v/>
      </c>
      <c r="N504" s="69">
        <f>IF(OR(H504="",M504&lt;&gt;1),"",C504+ROW()/100000)</f>
        <v/>
      </c>
    </row>
    <row r="505" ht="20" customHeight="1">
      <c r="A505" s="60" t="n"/>
      <c r="B505" s="65">
        <f>IF(A505="","",IFERROR(INDEX(Bestand!$B$14:$B$213,MATCH(A505,Bestand!$A$14:$A$213,0)),"ID unbekannt"))</f>
        <v/>
      </c>
      <c r="C505" s="63" t="n"/>
      <c r="D505" s="62" t="n"/>
      <c r="E505" s="60" t="n"/>
      <c r="F505" s="60" t="n"/>
      <c r="G505" s="61" t="n"/>
      <c r="H505" s="69">
        <f>IF(OR(A505="",C505=""),"",COUNTIFS($A$7:$A$1006,A505,$C$7:$C$1006,"&lt;"&amp;C505)+1)</f>
        <v/>
      </c>
      <c r="I505" s="67">
        <f>IF(H505="","",IF(H505=1,"",C505-_xlfn.MAXIFS($C$7:$C$1006,$A$7:$A$1006,A505,$C$7:$C$1006,"&lt;"&amp;C505)))</f>
        <v/>
      </c>
      <c r="J505" s="68">
        <f>IF(I505="","",I505/TpM)</f>
        <v/>
      </c>
      <c r="K505" s="69">
        <f>IF(H505="","",COUNTIFS($A$7:$A$1006,A505,$C$7:$C$1006,"&gt;0")-H505)</f>
        <v/>
      </c>
      <c r="L505" s="69">
        <f>IF(H505="","",A505&amp;"|"&amp;H505)</f>
        <v/>
      </c>
      <c r="M505" s="69">
        <f>IF(A505="","",IFERROR(INDEX(Bestand!$AC$14:$AC$213,MATCH(A505,Bestand!$A$14:$A$213,0)),0))</f>
        <v/>
      </c>
      <c r="N505" s="69">
        <f>IF(OR(H505="",M505&lt;&gt;1),"",C505+ROW()/100000)</f>
        <v/>
      </c>
    </row>
    <row r="506" ht="20" customHeight="1">
      <c r="A506" s="60" t="n"/>
      <c r="B506" s="65">
        <f>IF(A506="","",IFERROR(INDEX(Bestand!$B$14:$B$213,MATCH(A506,Bestand!$A$14:$A$213,0)),"ID unbekannt"))</f>
        <v/>
      </c>
      <c r="C506" s="63" t="n"/>
      <c r="D506" s="62" t="n"/>
      <c r="E506" s="60" t="n"/>
      <c r="F506" s="60" t="n"/>
      <c r="G506" s="61" t="n"/>
      <c r="H506" s="69">
        <f>IF(OR(A506="",C506=""),"",COUNTIFS($A$7:$A$1006,A506,$C$7:$C$1006,"&lt;"&amp;C506)+1)</f>
        <v/>
      </c>
      <c r="I506" s="67">
        <f>IF(H506="","",IF(H506=1,"",C506-_xlfn.MAXIFS($C$7:$C$1006,$A$7:$A$1006,A506,$C$7:$C$1006,"&lt;"&amp;C506)))</f>
        <v/>
      </c>
      <c r="J506" s="68">
        <f>IF(I506="","",I506/TpM)</f>
        <v/>
      </c>
      <c r="K506" s="69">
        <f>IF(H506="","",COUNTIFS($A$7:$A$1006,A506,$C$7:$C$1006,"&gt;0")-H506)</f>
        <v/>
      </c>
      <c r="L506" s="69">
        <f>IF(H506="","",A506&amp;"|"&amp;H506)</f>
        <v/>
      </c>
      <c r="M506" s="69">
        <f>IF(A506="","",IFERROR(INDEX(Bestand!$AC$14:$AC$213,MATCH(A506,Bestand!$A$14:$A$213,0)),0))</f>
        <v/>
      </c>
      <c r="N506" s="69">
        <f>IF(OR(H506="",M506&lt;&gt;1),"",C506+ROW()/100000)</f>
        <v/>
      </c>
    </row>
    <row r="507" ht="20" customHeight="1">
      <c r="A507" s="60" t="n"/>
      <c r="B507" s="65">
        <f>IF(A507="","",IFERROR(INDEX(Bestand!$B$14:$B$213,MATCH(A507,Bestand!$A$14:$A$213,0)),"ID unbekannt"))</f>
        <v/>
      </c>
      <c r="C507" s="63" t="n"/>
      <c r="D507" s="62" t="n"/>
      <c r="E507" s="60" t="n"/>
      <c r="F507" s="60" t="n"/>
      <c r="G507" s="61" t="n"/>
      <c r="H507" s="69">
        <f>IF(OR(A507="",C507=""),"",COUNTIFS($A$7:$A$1006,A507,$C$7:$C$1006,"&lt;"&amp;C507)+1)</f>
        <v/>
      </c>
      <c r="I507" s="67">
        <f>IF(H507="","",IF(H507=1,"",C507-_xlfn.MAXIFS($C$7:$C$1006,$A$7:$A$1006,A507,$C$7:$C$1006,"&lt;"&amp;C507)))</f>
        <v/>
      </c>
      <c r="J507" s="68">
        <f>IF(I507="","",I507/TpM)</f>
        <v/>
      </c>
      <c r="K507" s="69">
        <f>IF(H507="","",COUNTIFS($A$7:$A$1006,A507,$C$7:$C$1006,"&gt;0")-H507)</f>
        <v/>
      </c>
      <c r="L507" s="69">
        <f>IF(H507="","",A507&amp;"|"&amp;H507)</f>
        <v/>
      </c>
      <c r="M507" s="69">
        <f>IF(A507="","",IFERROR(INDEX(Bestand!$AC$14:$AC$213,MATCH(A507,Bestand!$A$14:$A$213,0)),0))</f>
        <v/>
      </c>
      <c r="N507" s="69">
        <f>IF(OR(H507="",M507&lt;&gt;1),"",C507+ROW()/100000)</f>
        <v/>
      </c>
    </row>
    <row r="508" ht="20" customHeight="1">
      <c r="A508" s="60" t="n"/>
      <c r="B508" s="65">
        <f>IF(A508="","",IFERROR(INDEX(Bestand!$B$14:$B$213,MATCH(A508,Bestand!$A$14:$A$213,0)),"ID unbekannt"))</f>
        <v/>
      </c>
      <c r="C508" s="63" t="n"/>
      <c r="D508" s="62" t="n"/>
      <c r="E508" s="60" t="n"/>
      <c r="F508" s="60" t="n"/>
      <c r="G508" s="61" t="n"/>
      <c r="H508" s="69">
        <f>IF(OR(A508="",C508=""),"",COUNTIFS($A$7:$A$1006,A508,$C$7:$C$1006,"&lt;"&amp;C508)+1)</f>
        <v/>
      </c>
      <c r="I508" s="67">
        <f>IF(H508="","",IF(H508=1,"",C508-_xlfn.MAXIFS($C$7:$C$1006,$A$7:$A$1006,A508,$C$7:$C$1006,"&lt;"&amp;C508)))</f>
        <v/>
      </c>
      <c r="J508" s="68">
        <f>IF(I508="","",I508/TpM)</f>
        <v/>
      </c>
      <c r="K508" s="69">
        <f>IF(H508="","",COUNTIFS($A$7:$A$1006,A508,$C$7:$C$1006,"&gt;0")-H508)</f>
        <v/>
      </c>
      <c r="L508" s="69">
        <f>IF(H508="","",A508&amp;"|"&amp;H508)</f>
        <v/>
      </c>
      <c r="M508" s="69">
        <f>IF(A508="","",IFERROR(INDEX(Bestand!$AC$14:$AC$213,MATCH(A508,Bestand!$A$14:$A$213,0)),0))</f>
        <v/>
      </c>
      <c r="N508" s="69">
        <f>IF(OR(H508="",M508&lt;&gt;1),"",C508+ROW()/100000)</f>
        <v/>
      </c>
    </row>
    <row r="509" ht="20" customHeight="1">
      <c r="A509" s="60" t="n"/>
      <c r="B509" s="65">
        <f>IF(A509="","",IFERROR(INDEX(Bestand!$B$14:$B$213,MATCH(A509,Bestand!$A$14:$A$213,0)),"ID unbekannt"))</f>
        <v/>
      </c>
      <c r="C509" s="63" t="n"/>
      <c r="D509" s="62" t="n"/>
      <c r="E509" s="60" t="n"/>
      <c r="F509" s="60" t="n"/>
      <c r="G509" s="61" t="n"/>
      <c r="H509" s="69">
        <f>IF(OR(A509="",C509=""),"",COUNTIFS($A$7:$A$1006,A509,$C$7:$C$1006,"&lt;"&amp;C509)+1)</f>
        <v/>
      </c>
      <c r="I509" s="67">
        <f>IF(H509="","",IF(H509=1,"",C509-_xlfn.MAXIFS($C$7:$C$1006,$A$7:$A$1006,A509,$C$7:$C$1006,"&lt;"&amp;C509)))</f>
        <v/>
      </c>
      <c r="J509" s="68">
        <f>IF(I509="","",I509/TpM)</f>
        <v/>
      </c>
      <c r="K509" s="69">
        <f>IF(H509="","",COUNTIFS($A$7:$A$1006,A509,$C$7:$C$1006,"&gt;0")-H509)</f>
        <v/>
      </c>
      <c r="L509" s="69">
        <f>IF(H509="","",A509&amp;"|"&amp;H509)</f>
        <v/>
      </c>
      <c r="M509" s="69">
        <f>IF(A509="","",IFERROR(INDEX(Bestand!$AC$14:$AC$213,MATCH(A509,Bestand!$A$14:$A$213,0)),0))</f>
        <v/>
      </c>
      <c r="N509" s="69">
        <f>IF(OR(H509="",M509&lt;&gt;1),"",C509+ROW()/100000)</f>
        <v/>
      </c>
    </row>
    <row r="510" ht="20" customHeight="1">
      <c r="A510" s="60" t="n"/>
      <c r="B510" s="65">
        <f>IF(A510="","",IFERROR(INDEX(Bestand!$B$14:$B$213,MATCH(A510,Bestand!$A$14:$A$213,0)),"ID unbekannt"))</f>
        <v/>
      </c>
      <c r="C510" s="63" t="n"/>
      <c r="D510" s="62" t="n"/>
      <c r="E510" s="60" t="n"/>
      <c r="F510" s="60" t="n"/>
      <c r="G510" s="61" t="n"/>
      <c r="H510" s="69">
        <f>IF(OR(A510="",C510=""),"",COUNTIFS($A$7:$A$1006,A510,$C$7:$C$1006,"&lt;"&amp;C510)+1)</f>
        <v/>
      </c>
      <c r="I510" s="67">
        <f>IF(H510="","",IF(H510=1,"",C510-_xlfn.MAXIFS($C$7:$C$1006,$A$7:$A$1006,A510,$C$7:$C$1006,"&lt;"&amp;C510)))</f>
        <v/>
      </c>
      <c r="J510" s="68">
        <f>IF(I510="","",I510/TpM)</f>
        <v/>
      </c>
      <c r="K510" s="69">
        <f>IF(H510="","",COUNTIFS($A$7:$A$1006,A510,$C$7:$C$1006,"&gt;0")-H510)</f>
        <v/>
      </c>
      <c r="L510" s="69">
        <f>IF(H510="","",A510&amp;"|"&amp;H510)</f>
        <v/>
      </c>
      <c r="M510" s="69">
        <f>IF(A510="","",IFERROR(INDEX(Bestand!$AC$14:$AC$213,MATCH(A510,Bestand!$A$14:$A$213,0)),0))</f>
        <v/>
      </c>
      <c r="N510" s="69">
        <f>IF(OR(H510="",M510&lt;&gt;1),"",C510+ROW()/100000)</f>
        <v/>
      </c>
    </row>
    <row r="511" ht="20" customHeight="1">
      <c r="A511" s="60" t="n"/>
      <c r="B511" s="65">
        <f>IF(A511="","",IFERROR(INDEX(Bestand!$B$14:$B$213,MATCH(A511,Bestand!$A$14:$A$213,0)),"ID unbekannt"))</f>
        <v/>
      </c>
      <c r="C511" s="63" t="n"/>
      <c r="D511" s="62" t="n"/>
      <c r="E511" s="60" t="n"/>
      <c r="F511" s="60" t="n"/>
      <c r="G511" s="61" t="n"/>
      <c r="H511" s="69">
        <f>IF(OR(A511="",C511=""),"",COUNTIFS($A$7:$A$1006,A511,$C$7:$C$1006,"&lt;"&amp;C511)+1)</f>
        <v/>
      </c>
      <c r="I511" s="67">
        <f>IF(H511="","",IF(H511=1,"",C511-_xlfn.MAXIFS($C$7:$C$1006,$A$7:$A$1006,A511,$C$7:$C$1006,"&lt;"&amp;C511)))</f>
        <v/>
      </c>
      <c r="J511" s="68">
        <f>IF(I511="","",I511/TpM)</f>
        <v/>
      </c>
      <c r="K511" s="69">
        <f>IF(H511="","",COUNTIFS($A$7:$A$1006,A511,$C$7:$C$1006,"&gt;0")-H511)</f>
        <v/>
      </c>
      <c r="L511" s="69">
        <f>IF(H511="","",A511&amp;"|"&amp;H511)</f>
        <v/>
      </c>
      <c r="M511" s="69">
        <f>IF(A511="","",IFERROR(INDEX(Bestand!$AC$14:$AC$213,MATCH(A511,Bestand!$A$14:$A$213,0)),0))</f>
        <v/>
      </c>
      <c r="N511" s="69">
        <f>IF(OR(H511="",M511&lt;&gt;1),"",C511+ROW()/100000)</f>
        <v/>
      </c>
    </row>
    <row r="512" ht="20" customHeight="1">
      <c r="A512" s="60" t="n"/>
      <c r="B512" s="65">
        <f>IF(A512="","",IFERROR(INDEX(Bestand!$B$14:$B$213,MATCH(A512,Bestand!$A$14:$A$213,0)),"ID unbekannt"))</f>
        <v/>
      </c>
      <c r="C512" s="63" t="n"/>
      <c r="D512" s="62" t="n"/>
      <c r="E512" s="60" t="n"/>
      <c r="F512" s="60" t="n"/>
      <c r="G512" s="61" t="n"/>
      <c r="H512" s="69">
        <f>IF(OR(A512="",C512=""),"",COUNTIFS($A$7:$A$1006,A512,$C$7:$C$1006,"&lt;"&amp;C512)+1)</f>
        <v/>
      </c>
      <c r="I512" s="67">
        <f>IF(H512="","",IF(H512=1,"",C512-_xlfn.MAXIFS($C$7:$C$1006,$A$7:$A$1006,A512,$C$7:$C$1006,"&lt;"&amp;C512)))</f>
        <v/>
      </c>
      <c r="J512" s="68">
        <f>IF(I512="","",I512/TpM)</f>
        <v/>
      </c>
      <c r="K512" s="69">
        <f>IF(H512="","",COUNTIFS($A$7:$A$1006,A512,$C$7:$C$1006,"&gt;0")-H512)</f>
        <v/>
      </c>
      <c r="L512" s="69">
        <f>IF(H512="","",A512&amp;"|"&amp;H512)</f>
        <v/>
      </c>
      <c r="M512" s="69">
        <f>IF(A512="","",IFERROR(INDEX(Bestand!$AC$14:$AC$213,MATCH(A512,Bestand!$A$14:$A$213,0)),0))</f>
        <v/>
      </c>
      <c r="N512" s="69">
        <f>IF(OR(H512="",M512&lt;&gt;1),"",C512+ROW()/100000)</f>
        <v/>
      </c>
    </row>
    <row r="513" ht="20" customHeight="1">
      <c r="A513" s="60" t="n"/>
      <c r="B513" s="65">
        <f>IF(A513="","",IFERROR(INDEX(Bestand!$B$14:$B$213,MATCH(A513,Bestand!$A$14:$A$213,0)),"ID unbekannt"))</f>
        <v/>
      </c>
      <c r="C513" s="63" t="n"/>
      <c r="D513" s="62" t="n"/>
      <c r="E513" s="60" t="n"/>
      <c r="F513" s="60" t="n"/>
      <c r="G513" s="61" t="n"/>
      <c r="H513" s="69">
        <f>IF(OR(A513="",C513=""),"",COUNTIFS($A$7:$A$1006,A513,$C$7:$C$1006,"&lt;"&amp;C513)+1)</f>
        <v/>
      </c>
      <c r="I513" s="67">
        <f>IF(H513="","",IF(H513=1,"",C513-_xlfn.MAXIFS($C$7:$C$1006,$A$7:$A$1006,A513,$C$7:$C$1006,"&lt;"&amp;C513)))</f>
        <v/>
      </c>
      <c r="J513" s="68">
        <f>IF(I513="","",I513/TpM)</f>
        <v/>
      </c>
      <c r="K513" s="69">
        <f>IF(H513="","",COUNTIFS($A$7:$A$1006,A513,$C$7:$C$1006,"&gt;0")-H513)</f>
        <v/>
      </c>
      <c r="L513" s="69">
        <f>IF(H513="","",A513&amp;"|"&amp;H513)</f>
        <v/>
      </c>
      <c r="M513" s="69">
        <f>IF(A513="","",IFERROR(INDEX(Bestand!$AC$14:$AC$213,MATCH(A513,Bestand!$A$14:$A$213,0)),0))</f>
        <v/>
      </c>
      <c r="N513" s="69">
        <f>IF(OR(H513="",M513&lt;&gt;1),"",C513+ROW()/100000)</f>
        <v/>
      </c>
    </row>
    <row r="514" ht="20" customHeight="1">
      <c r="A514" s="60" t="n"/>
      <c r="B514" s="65">
        <f>IF(A514="","",IFERROR(INDEX(Bestand!$B$14:$B$213,MATCH(A514,Bestand!$A$14:$A$213,0)),"ID unbekannt"))</f>
        <v/>
      </c>
      <c r="C514" s="63" t="n"/>
      <c r="D514" s="62" t="n"/>
      <c r="E514" s="60" t="n"/>
      <c r="F514" s="60" t="n"/>
      <c r="G514" s="61" t="n"/>
      <c r="H514" s="69">
        <f>IF(OR(A514="",C514=""),"",COUNTIFS($A$7:$A$1006,A514,$C$7:$C$1006,"&lt;"&amp;C514)+1)</f>
        <v/>
      </c>
      <c r="I514" s="67">
        <f>IF(H514="","",IF(H514=1,"",C514-_xlfn.MAXIFS($C$7:$C$1006,$A$7:$A$1006,A514,$C$7:$C$1006,"&lt;"&amp;C514)))</f>
        <v/>
      </c>
      <c r="J514" s="68">
        <f>IF(I514="","",I514/TpM)</f>
        <v/>
      </c>
      <c r="K514" s="69">
        <f>IF(H514="","",COUNTIFS($A$7:$A$1006,A514,$C$7:$C$1006,"&gt;0")-H514)</f>
        <v/>
      </c>
      <c r="L514" s="69">
        <f>IF(H514="","",A514&amp;"|"&amp;H514)</f>
        <v/>
      </c>
      <c r="M514" s="69">
        <f>IF(A514="","",IFERROR(INDEX(Bestand!$AC$14:$AC$213,MATCH(A514,Bestand!$A$14:$A$213,0)),0))</f>
        <v/>
      </c>
      <c r="N514" s="69">
        <f>IF(OR(H514="",M514&lt;&gt;1),"",C514+ROW()/100000)</f>
        <v/>
      </c>
    </row>
    <row r="515" ht="20" customHeight="1">
      <c r="A515" s="60" t="n"/>
      <c r="B515" s="65">
        <f>IF(A515="","",IFERROR(INDEX(Bestand!$B$14:$B$213,MATCH(A515,Bestand!$A$14:$A$213,0)),"ID unbekannt"))</f>
        <v/>
      </c>
      <c r="C515" s="63" t="n"/>
      <c r="D515" s="62" t="n"/>
      <c r="E515" s="60" t="n"/>
      <c r="F515" s="60" t="n"/>
      <c r="G515" s="61" t="n"/>
      <c r="H515" s="69">
        <f>IF(OR(A515="",C515=""),"",COUNTIFS($A$7:$A$1006,A515,$C$7:$C$1006,"&lt;"&amp;C515)+1)</f>
        <v/>
      </c>
      <c r="I515" s="67">
        <f>IF(H515="","",IF(H515=1,"",C515-_xlfn.MAXIFS($C$7:$C$1006,$A$7:$A$1006,A515,$C$7:$C$1006,"&lt;"&amp;C515)))</f>
        <v/>
      </c>
      <c r="J515" s="68">
        <f>IF(I515="","",I515/TpM)</f>
        <v/>
      </c>
      <c r="K515" s="69">
        <f>IF(H515="","",COUNTIFS($A$7:$A$1006,A515,$C$7:$C$1006,"&gt;0")-H515)</f>
        <v/>
      </c>
      <c r="L515" s="69">
        <f>IF(H515="","",A515&amp;"|"&amp;H515)</f>
        <v/>
      </c>
      <c r="M515" s="69">
        <f>IF(A515="","",IFERROR(INDEX(Bestand!$AC$14:$AC$213,MATCH(A515,Bestand!$A$14:$A$213,0)),0))</f>
        <v/>
      </c>
      <c r="N515" s="69">
        <f>IF(OR(H515="",M515&lt;&gt;1),"",C515+ROW()/100000)</f>
        <v/>
      </c>
    </row>
    <row r="516" ht="20" customHeight="1">
      <c r="A516" s="60" t="n"/>
      <c r="B516" s="65">
        <f>IF(A516="","",IFERROR(INDEX(Bestand!$B$14:$B$213,MATCH(A516,Bestand!$A$14:$A$213,0)),"ID unbekannt"))</f>
        <v/>
      </c>
      <c r="C516" s="63" t="n"/>
      <c r="D516" s="62" t="n"/>
      <c r="E516" s="60" t="n"/>
      <c r="F516" s="60" t="n"/>
      <c r="G516" s="61" t="n"/>
      <c r="H516" s="69">
        <f>IF(OR(A516="",C516=""),"",COUNTIFS($A$7:$A$1006,A516,$C$7:$C$1006,"&lt;"&amp;C516)+1)</f>
        <v/>
      </c>
      <c r="I516" s="67">
        <f>IF(H516="","",IF(H516=1,"",C516-_xlfn.MAXIFS($C$7:$C$1006,$A$7:$A$1006,A516,$C$7:$C$1006,"&lt;"&amp;C516)))</f>
        <v/>
      </c>
      <c r="J516" s="68">
        <f>IF(I516="","",I516/TpM)</f>
        <v/>
      </c>
      <c r="K516" s="69">
        <f>IF(H516="","",COUNTIFS($A$7:$A$1006,A516,$C$7:$C$1006,"&gt;0")-H516)</f>
        <v/>
      </c>
      <c r="L516" s="69">
        <f>IF(H516="","",A516&amp;"|"&amp;H516)</f>
        <v/>
      </c>
      <c r="M516" s="69">
        <f>IF(A516="","",IFERROR(INDEX(Bestand!$AC$14:$AC$213,MATCH(A516,Bestand!$A$14:$A$213,0)),0))</f>
        <v/>
      </c>
      <c r="N516" s="69">
        <f>IF(OR(H516="",M516&lt;&gt;1),"",C516+ROW()/100000)</f>
        <v/>
      </c>
    </row>
    <row r="517" ht="20" customHeight="1">
      <c r="A517" s="60" t="n"/>
      <c r="B517" s="65">
        <f>IF(A517="","",IFERROR(INDEX(Bestand!$B$14:$B$213,MATCH(A517,Bestand!$A$14:$A$213,0)),"ID unbekannt"))</f>
        <v/>
      </c>
      <c r="C517" s="63" t="n"/>
      <c r="D517" s="62" t="n"/>
      <c r="E517" s="60" t="n"/>
      <c r="F517" s="60" t="n"/>
      <c r="G517" s="61" t="n"/>
      <c r="H517" s="69">
        <f>IF(OR(A517="",C517=""),"",COUNTIFS($A$7:$A$1006,A517,$C$7:$C$1006,"&lt;"&amp;C517)+1)</f>
        <v/>
      </c>
      <c r="I517" s="67">
        <f>IF(H517="","",IF(H517=1,"",C517-_xlfn.MAXIFS($C$7:$C$1006,$A$7:$A$1006,A517,$C$7:$C$1006,"&lt;"&amp;C517)))</f>
        <v/>
      </c>
      <c r="J517" s="68">
        <f>IF(I517="","",I517/TpM)</f>
        <v/>
      </c>
      <c r="K517" s="69">
        <f>IF(H517="","",COUNTIFS($A$7:$A$1006,A517,$C$7:$C$1006,"&gt;0")-H517)</f>
        <v/>
      </c>
      <c r="L517" s="69">
        <f>IF(H517="","",A517&amp;"|"&amp;H517)</f>
        <v/>
      </c>
      <c r="M517" s="69">
        <f>IF(A517="","",IFERROR(INDEX(Bestand!$AC$14:$AC$213,MATCH(A517,Bestand!$A$14:$A$213,0)),0))</f>
        <v/>
      </c>
      <c r="N517" s="69">
        <f>IF(OR(H517="",M517&lt;&gt;1),"",C517+ROW()/100000)</f>
        <v/>
      </c>
    </row>
    <row r="518" ht="20" customHeight="1">
      <c r="A518" s="60" t="n"/>
      <c r="B518" s="65">
        <f>IF(A518="","",IFERROR(INDEX(Bestand!$B$14:$B$213,MATCH(A518,Bestand!$A$14:$A$213,0)),"ID unbekannt"))</f>
        <v/>
      </c>
      <c r="C518" s="63" t="n"/>
      <c r="D518" s="62" t="n"/>
      <c r="E518" s="60" t="n"/>
      <c r="F518" s="60" t="n"/>
      <c r="G518" s="61" t="n"/>
      <c r="H518" s="69">
        <f>IF(OR(A518="",C518=""),"",COUNTIFS($A$7:$A$1006,A518,$C$7:$C$1006,"&lt;"&amp;C518)+1)</f>
        <v/>
      </c>
      <c r="I518" s="67">
        <f>IF(H518="","",IF(H518=1,"",C518-_xlfn.MAXIFS($C$7:$C$1006,$A$7:$A$1006,A518,$C$7:$C$1006,"&lt;"&amp;C518)))</f>
        <v/>
      </c>
      <c r="J518" s="68">
        <f>IF(I518="","",I518/TpM)</f>
        <v/>
      </c>
      <c r="K518" s="69">
        <f>IF(H518="","",COUNTIFS($A$7:$A$1006,A518,$C$7:$C$1006,"&gt;0")-H518)</f>
        <v/>
      </c>
      <c r="L518" s="69">
        <f>IF(H518="","",A518&amp;"|"&amp;H518)</f>
        <v/>
      </c>
      <c r="M518" s="69">
        <f>IF(A518="","",IFERROR(INDEX(Bestand!$AC$14:$AC$213,MATCH(A518,Bestand!$A$14:$A$213,0)),0))</f>
        <v/>
      </c>
      <c r="N518" s="69">
        <f>IF(OR(H518="",M518&lt;&gt;1),"",C518+ROW()/100000)</f>
        <v/>
      </c>
    </row>
    <row r="519" ht="20" customHeight="1">
      <c r="A519" s="60" t="n"/>
      <c r="B519" s="65">
        <f>IF(A519="","",IFERROR(INDEX(Bestand!$B$14:$B$213,MATCH(A519,Bestand!$A$14:$A$213,0)),"ID unbekannt"))</f>
        <v/>
      </c>
      <c r="C519" s="63" t="n"/>
      <c r="D519" s="62" t="n"/>
      <c r="E519" s="60" t="n"/>
      <c r="F519" s="60" t="n"/>
      <c r="G519" s="61" t="n"/>
      <c r="H519" s="69">
        <f>IF(OR(A519="",C519=""),"",COUNTIFS($A$7:$A$1006,A519,$C$7:$C$1006,"&lt;"&amp;C519)+1)</f>
        <v/>
      </c>
      <c r="I519" s="67">
        <f>IF(H519="","",IF(H519=1,"",C519-_xlfn.MAXIFS($C$7:$C$1006,$A$7:$A$1006,A519,$C$7:$C$1006,"&lt;"&amp;C519)))</f>
        <v/>
      </c>
      <c r="J519" s="68">
        <f>IF(I519="","",I519/TpM)</f>
        <v/>
      </c>
      <c r="K519" s="69">
        <f>IF(H519="","",COUNTIFS($A$7:$A$1006,A519,$C$7:$C$1006,"&gt;0")-H519)</f>
        <v/>
      </c>
      <c r="L519" s="69">
        <f>IF(H519="","",A519&amp;"|"&amp;H519)</f>
        <v/>
      </c>
      <c r="M519" s="69">
        <f>IF(A519="","",IFERROR(INDEX(Bestand!$AC$14:$AC$213,MATCH(A519,Bestand!$A$14:$A$213,0)),0))</f>
        <v/>
      </c>
      <c r="N519" s="69">
        <f>IF(OR(H519="",M519&lt;&gt;1),"",C519+ROW()/100000)</f>
        <v/>
      </c>
    </row>
    <row r="520" ht="20" customHeight="1">
      <c r="A520" s="60" t="n"/>
      <c r="B520" s="65">
        <f>IF(A520="","",IFERROR(INDEX(Bestand!$B$14:$B$213,MATCH(A520,Bestand!$A$14:$A$213,0)),"ID unbekannt"))</f>
        <v/>
      </c>
      <c r="C520" s="63" t="n"/>
      <c r="D520" s="62" t="n"/>
      <c r="E520" s="60" t="n"/>
      <c r="F520" s="60" t="n"/>
      <c r="G520" s="61" t="n"/>
      <c r="H520" s="69">
        <f>IF(OR(A520="",C520=""),"",COUNTIFS($A$7:$A$1006,A520,$C$7:$C$1006,"&lt;"&amp;C520)+1)</f>
        <v/>
      </c>
      <c r="I520" s="67">
        <f>IF(H520="","",IF(H520=1,"",C520-_xlfn.MAXIFS($C$7:$C$1006,$A$7:$A$1006,A520,$C$7:$C$1006,"&lt;"&amp;C520)))</f>
        <v/>
      </c>
      <c r="J520" s="68">
        <f>IF(I520="","",I520/TpM)</f>
        <v/>
      </c>
      <c r="K520" s="69">
        <f>IF(H520="","",COUNTIFS($A$7:$A$1006,A520,$C$7:$C$1006,"&gt;0")-H520)</f>
        <v/>
      </c>
      <c r="L520" s="69">
        <f>IF(H520="","",A520&amp;"|"&amp;H520)</f>
        <v/>
      </c>
      <c r="M520" s="69">
        <f>IF(A520="","",IFERROR(INDEX(Bestand!$AC$14:$AC$213,MATCH(A520,Bestand!$A$14:$A$213,0)),0))</f>
        <v/>
      </c>
      <c r="N520" s="69">
        <f>IF(OR(H520="",M520&lt;&gt;1),"",C520+ROW()/100000)</f>
        <v/>
      </c>
    </row>
    <row r="521" ht="20" customHeight="1">
      <c r="A521" s="60" t="n"/>
      <c r="B521" s="65">
        <f>IF(A521="","",IFERROR(INDEX(Bestand!$B$14:$B$213,MATCH(A521,Bestand!$A$14:$A$213,0)),"ID unbekannt"))</f>
        <v/>
      </c>
      <c r="C521" s="63" t="n"/>
      <c r="D521" s="62" t="n"/>
      <c r="E521" s="60" t="n"/>
      <c r="F521" s="60" t="n"/>
      <c r="G521" s="61" t="n"/>
      <c r="H521" s="69">
        <f>IF(OR(A521="",C521=""),"",COUNTIFS($A$7:$A$1006,A521,$C$7:$C$1006,"&lt;"&amp;C521)+1)</f>
        <v/>
      </c>
      <c r="I521" s="67">
        <f>IF(H521="","",IF(H521=1,"",C521-_xlfn.MAXIFS($C$7:$C$1006,$A$7:$A$1006,A521,$C$7:$C$1006,"&lt;"&amp;C521)))</f>
        <v/>
      </c>
      <c r="J521" s="68">
        <f>IF(I521="","",I521/TpM)</f>
        <v/>
      </c>
      <c r="K521" s="69">
        <f>IF(H521="","",COUNTIFS($A$7:$A$1006,A521,$C$7:$C$1006,"&gt;0")-H521)</f>
        <v/>
      </c>
      <c r="L521" s="69">
        <f>IF(H521="","",A521&amp;"|"&amp;H521)</f>
        <v/>
      </c>
      <c r="M521" s="69">
        <f>IF(A521="","",IFERROR(INDEX(Bestand!$AC$14:$AC$213,MATCH(A521,Bestand!$A$14:$A$213,0)),0))</f>
        <v/>
      </c>
      <c r="N521" s="69">
        <f>IF(OR(H521="",M521&lt;&gt;1),"",C521+ROW()/100000)</f>
        <v/>
      </c>
    </row>
    <row r="522" ht="20" customHeight="1">
      <c r="A522" s="60" t="n"/>
      <c r="B522" s="65">
        <f>IF(A522="","",IFERROR(INDEX(Bestand!$B$14:$B$213,MATCH(A522,Bestand!$A$14:$A$213,0)),"ID unbekannt"))</f>
        <v/>
      </c>
      <c r="C522" s="63" t="n"/>
      <c r="D522" s="62" t="n"/>
      <c r="E522" s="60" t="n"/>
      <c r="F522" s="60" t="n"/>
      <c r="G522" s="61" t="n"/>
      <c r="H522" s="69">
        <f>IF(OR(A522="",C522=""),"",COUNTIFS($A$7:$A$1006,A522,$C$7:$C$1006,"&lt;"&amp;C522)+1)</f>
        <v/>
      </c>
      <c r="I522" s="67">
        <f>IF(H522="","",IF(H522=1,"",C522-_xlfn.MAXIFS($C$7:$C$1006,$A$7:$A$1006,A522,$C$7:$C$1006,"&lt;"&amp;C522)))</f>
        <v/>
      </c>
      <c r="J522" s="68">
        <f>IF(I522="","",I522/TpM)</f>
        <v/>
      </c>
      <c r="K522" s="69">
        <f>IF(H522="","",COUNTIFS($A$7:$A$1006,A522,$C$7:$C$1006,"&gt;0")-H522)</f>
        <v/>
      </c>
      <c r="L522" s="69">
        <f>IF(H522="","",A522&amp;"|"&amp;H522)</f>
        <v/>
      </c>
      <c r="M522" s="69">
        <f>IF(A522="","",IFERROR(INDEX(Bestand!$AC$14:$AC$213,MATCH(A522,Bestand!$A$14:$A$213,0)),0))</f>
        <v/>
      </c>
      <c r="N522" s="69">
        <f>IF(OR(H522="",M522&lt;&gt;1),"",C522+ROW()/100000)</f>
        <v/>
      </c>
    </row>
    <row r="523" ht="20" customHeight="1">
      <c r="A523" s="60" t="n"/>
      <c r="B523" s="65">
        <f>IF(A523="","",IFERROR(INDEX(Bestand!$B$14:$B$213,MATCH(A523,Bestand!$A$14:$A$213,0)),"ID unbekannt"))</f>
        <v/>
      </c>
      <c r="C523" s="63" t="n"/>
      <c r="D523" s="62" t="n"/>
      <c r="E523" s="60" t="n"/>
      <c r="F523" s="60" t="n"/>
      <c r="G523" s="61" t="n"/>
      <c r="H523" s="69">
        <f>IF(OR(A523="",C523=""),"",COUNTIFS($A$7:$A$1006,A523,$C$7:$C$1006,"&lt;"&amp;C523)+1)</f>
        <v/>
      </c>
      <c r="I523" s="67">
        <f>IF(H523="","",IF(H523=1,"",C523-_xlfn.MAXIFS($C$7:$C$1006,$A$7:$A$1006,A523,$C$7:$C$1006,"&lt;"&amp;C523)))</f>
        <v/>
      </c>
      <c r="J523" s="68">
        <f>IF(I523="","",I523/TpM)</f>
        <v/>
      </c>
      <c r="K523" s="69">
        <f>IF(H523="","",COUNTIFS($A$7:$A$1006,A523,$C$7:$C$1006,"&gt;0")-H523)</f>
        <v/>
      </c>
      <c r="L523" s="69">
        <f>IF(H523="","",A523&amp;"|"&amp;H523)</f>
        <v/>
      </c>
      <c r="M523" s="69">
        <f>IF(A523="","",IFERROR(INDEX(Bestand!$AC$14:$AC$213,MATCH(A523,Bestand!$A$14:$A$213,0)),0))</f>
        <v/>
      </c>
      <c r="N523" s="69">
        <f>IF(OR(H523="",M523&lt;&gt;1),"",C523+ROW()/100000)</f>
        <v/>
      </c>
    </row>
    <row r="524" ht="20" customHeight="1">
      <c r="A524" s="60" t="n"/>
      <c r="B524" s="65">
        <f>IF(A524="","",IFERROR(INDEX(Bestand!$B$14:$B$213,MATCH(A524,Bestand!$A$14:$A$213,0)),"ID unbekannt"))</f>
        <v/>
      </c>
      <c r="C524" s="63" t="n"/>
      <c r="D524" s="62" t="n"/>
      <c r="E524" s="60" t="n"/>
      <c r="F524" s="60" t="n"/>
      <c r="G524" s="61" t="n"/>
      <c r="H524" s="69">
        <f>IF(OR(A524="",C524=""),"",COUNTIFS($A$7:$A$1006,A524,$C$7:$C$1006,"&lt;"&amp;C524)+1)</f>
        <v/>
      </c>
      <c r="I524" s="67">
        <f>IF(H524="","",IF(H524=1,"",C524-_xlfn.MAXIFS($C$7:$C$1006,$A$7:$A$1006,A524,$C$7:$C$1006,"&lt;"&amp;C524)))</f>
        <v/>
      </c>
      <c r="J524" s="68">
        <f>IF(I524="","",I524/TpM)</f>
        <v/>
      </c>
      <c r="K524" s="69">
        <f>IF(H524="","",COUNTIFS($A$7:$A$1006,A524,$C$7:$C$1006,"&gt;0")-H524)</f>
        <v/>
      </c>
      <c r="L524" s="69">
        <f>IF(H524="","",A524&amp;"|"&amp;H524)</f>
        <v/>
      </c>
      <c r="M524" s="69">
        <f>IF(A524="","",IFERROR(INDEX(Bestand!$AC$14:$AC$213,MATCH(A524,Bestand!$A$14:$A$213,0)),0))</f>
        <v/>
      </c>
      <c r="N524" s="69">
        <f>IF(OR(H524="",M524&lt;&gt;1),"",C524+ROW()/100000)</f>
        <v/>
      </c>
    </row>
    <row r="525" ht="20" customHeight="1">
      <c r="A525" s="60" t="n"/>
      <c r="B525" s="65">
        <f>IF(A525="","",IFERROR(INDEX(Bestand!$B$14:$B$213,MATCH(A525,Bestand!$A$14:$A$213,0)),"ID unbekannt"))</f>
        <v/>
      </c>
      <c r="C525" s="63" t="n"/>
      <c r="D525" s="62" t="n"/>
      <c r="E525" s="60" t="n"/>
      <c r="F525" s="60" t="n"/>
      <c r="G525" s="61" t="n"/>
      <c r="H525" s="69">
        <f>IF(OR(A525="",C525=""),"",COUNTIFS($A$7:$A$1006,A525,$C$7:$C$1006,"&lt;"&amp;C525)+1)</f>
        <v/>
      </c>
      <c r="I525" s="67">
        <f>IF(H525="","",IF(H525=1,"",C525-_xlfn.MAXIFS($C$7:$C$1006,$A$7:$A$1006,A525,$C$7:$C$1006,"&lt;"&amp;C525)))</f>
        <v/>
      </c>
      <c r="J525" s="68">
        <f>IF(I525="","",I525/TpM)</f>
        <v/>
      </c>
      <c r="K525" s="69">
        <f>IF(H525="","",COUNTIFS($A$7:$A$1006,A525,$C$7:$C$1006,"&gt;0")-H525)</f>
        <v/>
      </c>
      <c r="L525" s="69">
        <f>IF(H525="","",A525&amp;"|"&amp;H525)</f>
        <v/>
      </c>
      <c r="M525" s="69">
        <f>IF(A525="","",IFERROR(INDEX(Bestand!$AC$14:$AC$213,MATCH(A525,Bestand!$A$14:$A$213,0)),0))</f>
        <v/>
      </c>
      <c r="N525" s="69">
        <f>IF(OR(H525="",M525&lt;&gt;1),"",C525+ROW()/100000)</f>
        <v/>
      </c>
    </row>
    <row r="526" ht="20" customHeight="1">
      <c r="A526" s="60" t="n"/>
      <c r="B526" s="65">
        <f>IF(A526="","",IFERROR(INDEX(Bestand!$B$14:$B$213,MATCH(A526,Bestand!$A$14:$A$213,0)),"ID unbekannt"))</f>
        <v/>
      </c>
      <c r="C526" s="63" t="n"/>
      <c r="D526" s="62" t="n"/>
      <c r="E526" s="60" t="n"/>
      <c r="F526" s="60" t="n"/>
      <c r="G526" s="61" t="n"/>
      <c r="H526" s="69">
        <f>IF(OR(A526="",C526=""),"",COUNTIFS($A$7:$A$1006,A526,$C$7:$C$1006,"&lt;"&amp;C526)+1)</f>
        <v/>
      </c>
      <c r="I526" s="67">
        <f>IF(H526="","",IF(H526=1,"",C526-_xlfn.MAXIFS($C$7:$C$1006,$A$7:$A$1006,A526,$C$7:$C$1006,"&lt;"&amp;C526)))</f>
        <v/>
      </c>
      <c r="J526" s="68">
        <f>IF(I526="","",I526/TpM)</f>
        <v/>
      </c>
      <c r="K526" s="69">
        <f>IF(H526="","",COUNTIFS($A$7:$A$1006,A526,$C$7:$C$1006,"&gt;0")-H526)</f>
        <v/>
      </c>
      <c r="L526" s="69">
        <f>IF(H526="","",A526&amp;"|"&amp;H526)</f>
        <v/>
      </c>
      <c r="M526" s="69">
        <f>IF(A526="","",IFERROR(INDEX(Bestand!$AC$14:$AC$213,MATCH(A526,Bestand!$A$14:$A$213,0)),0))</f>
        <v/>
      </c>
      <c r="N526" s="69">
        <f>IF(OR(H526="",M526&lt;&gt;1),"",C526+ROW()/100000)</f>
        <v/>
      </c>
    </row>
    <row r="527" ht="20" customHeight="1">
      <c r="A527" s="60" t="n"/>
      <c r="B527" s="65">
        <f>IF(A527="","",IFERROR(INDEX(Bestand!$B$14:$B$213,MATCH(A527,Bestand!$A$14:$A$213,0)),"ID unbekannt"))</f>
        <v/>
      </c>
      <c r="C527" s="63" t="n"/>
      <c r="D527" s="62" t="n"/>
      <c r="E527" s="60" t="n"/>
      <c r="F527" s="60" t="n"/>
      <c r="G527" s="61" t="n"/>
      <c r="H527" s="69">
        <f>IF(OR(A527="",C527=""),"",COUNTIFS($A$7:$A$1006,A527,$C$7:$C$1006,"&lt;"&amp;C527)+1)</f>
        <v/>
      </c>
      <c r="I527" s="67">
        <f>IF(H527="","",IF(H527=1,"",C527-_xlfn.MAXIFS($C$7:$C$1006,$A$7:$A$1006,A527,$C$7:$C$1006,"&lt;"&amp;C527)))</f>
        <v/>
      </c>
      <c r="J527" s="68">
        <f>IF(I527="","",I527/TpM)</f>
        <v/>
      </c>
      <c r="K527" s="69">
        <f>IF(H527="","",COUNTIFS($A$7:$A$1006,A527,$C$7:$C$1006,"&gt;0")-H527)</f>
        <v/>
      </c>
      <c r="L527" s="69">
        <f>IF(H527="","",A527&amp;"|"&amp;H527)</f>
        <v/>
      </c>
      <c r="M527" s="69">
        <f>IF(A527="","",IFERROR(INDEX(Bestand!$AC$14:$AC$213,MATCH(A527,Bestand!$A$14:$A$213,0)),0))</f>
        <v/>
      </c>
      <c r="N527" s="69">
        <f>IF(OR(H527="",M527&lt;&gt;1),"",C527+ROW()/100000)</f>
        <v/>
      </c>
    </row>
    <row r="528" ht="20" customHeight="1">
      <c r="A528" s="60" t="n"/>
      <c r="B528" s="65">
        <f>IF(A528="","",IFERROR(INDEX(Bestand!$B$14:$B$213,MATCH(A528,Bestand!$A$14:$A$213,0)),"ID unbekannt"))</f>
        <v/>
      </c>
      <c r="C528" s="63" t="n"/>
      <c r="D528" s="62" t="n"/>
      <c r="E528" s="60" t="n"/>
      <c r="F528" s="60" t="n"/>
      <c r="G528" s="61" t="n"/>
      <c r="H528" s="69">
        <f>IF(OR(A528="",C528=""),"",COUNTIFS($A$7:$A$1006,A528,$C$7:$C$1006,"&lt;"&amp;C528)+1)</f>
        <v/>
      </c>
      <c r="I528" s="67">
        <f>IF(H528="","",IF(H528=1,"",C528-_xlfn.MAXIFS($C$7:$C$1006,$A$7:$A$1006,A528,$C$7:$C$1006,"&lt;"&amp;C528)))</f>
        <v/>
      </c>
      <c r="J528" s="68">
        <f>IF(I528="","",I528/TpM)</f>
        <v/>
      </c>
      <c r="K528" s="69">
        <f>IF(H528="","",COUNTIFS($A$7:$A$1006,A528,$C$7:$C$1006,"&gt;0")-H528)</f>
        <v/>
      </c>
      <c r="L528" s="69">
        <f>IF(H528="","",A528&amp;"|"&amp;H528)</f>
        <v/>
      </c>
      <c r="M528" s="69">
        <f>IF(A528="","",IFERROR(INDEX(Bestand!$AC$14:$AC$213,MATCH(A528,Bestand!$A$14:$A$213,0)),0))</f>
        <v/>
      </c>
      <c r="N528" s="69">
        <f>IF(OR(H528="",M528&lt;&gt;1),"",C528+ROW()/100000)</f>
        <v/>
      </c>
    </row>
    <row r="529" ht="20" customHeight="1">
      <c r="A529" s="60" t="n"/>
      <c r="B529" s="65">
        <f>IF(A529="","",IFERROR(INDEX(Bestand!$B$14:$B$213,MATCH(A529,Bestand!$A$14:$A$213,0)),"ID unbekannt"))</f>
        <v/>
      </c>
      <c r="C529" s="63" t="n"/>
      <c r="D529" s="62" t="n"/>
      <c r="E529" s="60" t="n"/>
      <c r="F529" s="60" t="n"/>
      <c r="G529" s="61" t="n"/>
      <c r="H529" s="69">
        <f>IF(OR(A529="",C529=""),"",COUNTIFS($A$7:$A$1006,A529,$C$7:$C$1006,"&lt;"&amp;C529)+1)</f>
        <v/>
      </c>
      <c r="I529" s="67">
        <f>IF(H529="","",IF(H529=1,"",C529-_xlfn.MAXIFS($C$7:$C$1006,$A$7:$A$1006,A529,$C$7:$C$1006,"&lt;"&amp;C529)))</f>
        <v/>
      </c>
      <c r="J529" s="68">
        <f>IF(I529="","",I529/TpM)</f>
        <v/>
      </c>
      <c r="K529" s="69">
        <f>IF(H529="","",COUNTIFS($A$7:$A$1006,A529,$C$7:$C$1006,"&gt;0")-H529)</f>
        <v/>
      </c>
      <c r="L529" s="69">
        <f>IF(H529="","",A529&amp;"|"&amp;H529)</f>
        <v/>
      </c>
      <c r="M529" s="69">
        <f>IF(A529="","",IFERROR(INDEX(Bestand!$AC$14:$AC$213,MATCH(A529,Bestand!$A$14:$A$213,0)),0))</f>
        <v/>
      </c>
      <c r="N529" s="69">
        <f>IF(OR(H529="",M529&lt;&gt;1),"",C529+ROW()/100000)</f>
        <v/>
      </c>
    </row>
    <row r="530" ht="20" customHeight="1">
      <c r="A530" s="60" t="n"/>
      <c r="B530" s="65">
        <f>IF(A530="","",IFERROR(INDEX(Bestand!$B$14:$B$213,MATCH(A530,Bestand!$A$14:$A$213,0)),"ID unbekannt"))</f>
        <v/>
      </c>
      <c r="C530" s="63" t="n"/>
      <c r="D530" s="62" t="n"/>
      <c r="E530" s="60" t="n"/>
      <c r="F530" s="60" t="n"/>
      <c r="G530" s="61" t="n"/>
      <c r="H530" s="69">
        <f>IF(OR(A530="",C530=""),"",COUNTIFS($A$7:$A$1006,A530,$C$7:$C$1006,"&lt;"&amp;C530)+1)</f>
        <v/>
      </c>
      <c r="I530" s="67">
        <f>IF(H530="","",IF(H530=1,"",C530-_xlfn.MAXIFS($C$7:$C$1006,$A$7:$A$1006,A530,$C$7:$C$1006,"&lt;"&amp;C530)))</f>
        <v/>
      </c>
      <c r="J530" s="68">
        <f>IF(I530="","",I530/TpM)</f>
        <v/>
      </c>
      <c r="K530" s="69">
        <f>IF(H530="","",COUNTIFS($A$7:$A$1006,A530,$C$7:$C$1006,"&gt;0")-H530)</f>
        <v/>
      </c>
      <c r="L530" s="69">
        <f>IF(H530="","",A530&amp;"|"&amp;H530)</f>
        <v/>
      </c>
      <c r="M530" s="69">
        <f>IF(A530="","",IFERROR(INDEX(Bestand!$AC$14:$AC$213,MATCH(A530,Bestand!$A$14:$A$213,0)),0))</f>
        <v/>
      </c>
      <c r="N530" s="69">
        <f>IF(OR(H530="",M530&lt;&gt;1),"",C530+ROW()/100000)</f>
        <v/>
      </c>
    </row>
    <row r="531" ht="20" customHeight="1">
      <c r="A531" s="60" t="n"/>
      <c r="B531" s="65">
        <f>IF(A531="","",IFERROR(INDEX(Bestand!$B$14:$B$213,MATCH(A531,Bestand!$A$14:$A$213,0)),"ID unbekannt"))</f>
        <v/>
      </c>
      <c r="C531" s="63" t="n"/>
      <c r="D531" s="62" t="n"/>
      <c r="E531" s="60" t="n"/>
      <c r="F531" s="60" t="n"/>
      <c r="G531" s="61" t="n"/>
      <c r="H531" s="69">
        <f>IF(OR(A531="",C531=""),"",COUNTIFS($A$7:$A$1006,A531,$C$7:$C$1006,"&lt;"&amp;C531)+1)</f>
        <v/>
      </c>
      <c r="I531" s="67">
        <f>IF(H531="","",IF(H531=1,"",C531-_xlfn.MAXIFS($C$7:$C$1006,$A$7:$A$1006,A531,$C$7:$C$1006,"&lt;"&amp;C531)))</f>
        <v/>
      </c>
      <c r="J531" s="68">
        <f>IF(I531="","",I531/TpM)</f>
        <v/>
      </c>
      <c r="K531" s="69">
        <f>IF(H531="","",COUNTIFS($A$7:$A$1006,A531,$C$7:$C$1006,"&gt;0")-H531)</f>
        <v/>
      </c>
      <c r="L531" s="69">
        <f>IF(H531="","",A531&amp;"|"&amp;H531)</f>
        <v/>
      </c>
      <c r="M531" s="69">
        <f>IF(A531="","",IFERROR(INDEX(Bestand!$AC$14:$AC$213,MATCH(A531,Bestand!$A$14:$A$213,0)),0))</f>
        <v/>
      </c>
      <c r="N531" s="69">
        <f>IF(OR(H531="",M531&lt;&gt;1),"",C531+ROW()/100000)</f>
        <v/>
      </c>
    </row>
    <row r="532" ht="20" customHeight="1">
      <c r="A532" s="60" t="n"/>
      <c r="B532" s="65">
        <f>IF(A532="","",IFERROR(INDEX(Bestand!$B$14:$B$213,MATCH(A532,Bestand!$A$14:$A$213,0)),"ID unbekannt"))</f>
        <v/>
      </c>
      <c r="C532" s="63" t="n"/>
      <c r="D532" s="62" t="n"/>
      <c r="E532" s="60" t="n"/>
      <c r="F532" s="60" t="n"/>
      <c r="G532" s="61" t="n"/>
      <c r="H532" s="69">
        <f>IF(OR(A532="",C532=""),"",COUNTIFS($A$7:$A$1006,A532,$C$7:$C$1006,"&lt;"&amp;C532)+1)</f>
        <v/>
      </c>
      <c r="I532" s="67">
        <f>IF(H532="","",IF(H532=1,"",C532-_xlfn.MAXIFS($C$7:$C$1006,$A$7:$A$1006,A532,$C$7:$C$1006,"&lt;"&amp;C532)))</f>
        <v/>
      </c>
      <c r="J532" s="68">
        <f>IF(I532="","",I532/TpM)</f>
        <v/>
      </c>
      <c r="K532" s="69">
        <f>IF(H532="","",COUNTIFS($A$7:$A$1006,A532,$C$7:$C$1006,"&gt;0")-H532)</f>
        <v/>
      </c>
      <c r="L532" s="69">
        <f>IF(H532="","",A532&amp;"|"&amp;H532)</f>
        <v/>
      </c>
      <c r="M532" s="69">
        <f>IF(A532="","",IFERROR(INDEX(Bestand!$AC$14:$AC$213,MATCH(A532,Bestand!$A$14:$A$213,0)),0))</f>
        <v/>
      </c>
      <c r="N532" s="69">
        <f>IF(OR(H532="",M532&lt;&gt;1),"",C532+ROW()/100000)</f>
        <v/>
      </c>
    </row>
    <row r="533" ht="20" customHeight="1">
      <c r="A533" s="60" t="n"/>
      <c r="B533" s="65">
        <f>IF(A533="","",IFERROR(INDEX(Bestand!$B$14:$B$213,MATCH(A533,Bestand!$A$14:$A$213,0)),"ID unbekannt"))</f>
        <v/>
      </c>
      <c r="C533" s="63" t="n"/>
      <c r="D533" s="62" t="n"/>
      <c r="E533" s="60" t="n"/>
      <c r="F533" s="60" t="n"/>
      <c r="G533" s="61" t="n"/>
      <c r="H533" s="69">
        <f>IF(OR(A533="",C533=""),"",COUNTIFS($A$7:$A$1006,A533,$C$7:$C$1006,"&lt;"&amp;C533)+1)</f>
        <v/>
      </c>
      <c r="I533" s="67">
        <f>IF(H533="","",IF(H533=1,"",C533-_xlfn.MAXIFS($C$7:$C$1006,$A$7:$A$1006,A533,$C$7:$C$1006,"&lt;"&amp;C533)))</f>
        <v/>
      </c>
      <c r="J533" s="68">
        <f>IF(I533="","",I533/TpM)</f>
        <v/>
      </c>
      <c r="K533" s="69">
        <f>IF(H533="","",COUNTIFS($A$7:$A$1006,A533,$C$7:$C$1006,"&gt;0")-H533)</f>
        <v/>
      </c>
      <c r="L533" s="69">
        <f>IF(H533="","",A533&amp;"|"&amp;H533)</f>
        <v/>
      </c>
      <c r="M533" s="69">
        <f>IF(A533="","",IFERROR(INDEX(Bestand!$AC$14:$AC$213,MATCH(A533,Bestand!$A$14:$A$213,0)),0))</f>
        <v/>
      </c>
      <c r="N533" s="69">
        <f>IF(OR(H533="",M533&lt;&gt;1),"",C533+ROW()/100000)</f>
        <v/>
      </c>
    </row>
    <row r="534" ht="20" customHeight="1">
      <c r="A534" s="60" t="n"/>
      <c r="B534" s="65">
        <f>IF(A534="","",IFERROR(INDEX(Bestand!$B$14:$B$213,MATCH(A534,Bestand!$A$14:$A$213,0)),"ID unbekannt"))</f>
        <v/>
      </c>
      <c r="C534" s="63" t="n"/>
      <c r="D534" s="62" t="n"/>
      <c r="E534" s="60" t="n"/>
      <c r="F534" s="60" t="n"/>
      <c r="G534" s="61" t="n"/>
      <c r="H534" s="69">
        <f>IF(OR(A534="",C534=""),"",COUNTIFS($A$7:$A$1006,A534,$C$7:$C$1006,"&lt;"&amp;C534)+1)</f>
        <v/>
      </c>
      <c r="I534" s="67">
        <f>IF(H534="","",IF(H534=1,"",C534-_xlfn.MAXIFS($C$7:$C$1006,$A$7:$A$1006,A534,$C$7:$C$1006,"&lt;"&amp;C534)))</f>
        <v/>
      </c>
      <c r="J534" s="68">
        <f>IF(I534="","",I534/TpM)</f>
        <v/>
      </c>
      <c r="K534" s="69">
        <f>IF(H534="","",COUNTIFS($A$7:$A$1006,A534,$C$7:$C$1006,"&gt;0")-H534)</f>
        <v/>
      </c>
      <c r="L534" s="69">
        <f>IF(H534="","",A534&amp;"|"&amp;H534)</f>
        <v/>
      </c>
      <c r="M534" s="69">
        <f>IF(A534="","",IFERROR(INDEX(Bestand!$AC$14:$AC$213,MATCH(A534,Bestand!$A$14:$A$213,0)),0))</f>
        <v/>
      </c>
      <c r="N534" s="69">
        <f>IF(OR(H534="",M534&lt;&gt;1),"",C534+ROW()/100000)</f>
        <v/>
      </c>
    </row>
    <row r="535" ht="20" customHeight="1">
      <c r="A535" s="60" t="n"/>
      <c r="B535" s="65">
        <f>IF(A535="","",IFERROR(INDEX(Bestand!$B$14:$B$213,MATCH(A535,Bestand!$A$14:$A$213,0)),"ID unbekannt"))</f>
        <v/>
      </c>
      <c r="C535" s="63" t="n"/>
      <c r="D535" s="62" t="n"/>
      <c r="E535" s="60" t="n"/>
      <c r="F535" s="60" t="n"/>
      <c r="G535" s="61" t="n"/>
      <c r="H535" s="69">
        <f>IF(OR(A535="",C535=""),"",COUNTIFS($A$7:$A$1006,A535,$C$7:$C$1006,"&lt;"&amp;C535)+1)</f>
        <v/>
      </c>
      <c r="I535" s="67">
        <f>IF(H535="","",IF(H535=1,"",C535-_xlfn.MAXIFS($C$7:$C$1006,$A$7:$A$1006,A535,$C$7:$C$1006,"&lt;"&amp;C535)))</f>
        <v/>
      </c>
      <c r="J535" s="68">
        <f>IF(I535="","",I535/TpM)</f>
        <v/>
      </c>
      <c r="K535" s="69">
        <f>IF(H535="","",COUNTIFS($A$7:$A$1006,A535,$C$7:$C$1006,"&gt;0")-H535)</f>
        <v/>
      </c>
      <c r="L535" s="69">
        <f>IF(H535="","",A535&amp;"|"&amp;H535)</f>
        <v/>
      </c>
      <c r="M535" s="69">
        <f>IF(A535="","",IFERROR(INDEX(Bestand!$AC$14:$AC$213,MATCH(A535,Bestand!$A$14:$A$213,0)),0))</f>
        <v/>
      </c>
      <c r="N535" s="69">
        <f>IF(OR(H535="",M535&lt;&gt;1),"",C535+ROW()/100000)</f>
        <v/>
      </c>
    </row>
    <row r="536" ht="20" customHeight="1">
      <c r="A536" s="60" t="n"/>
      <c r="B536" s="65">
        <f>IF(A536="","",IFERROR(INDEX(Bestand!$B$14:$B$213,MATCH(A536,Bestand!$A$14:$A$213,0)),"ID unbekannt"))</f>
        <v/>
      </c>
      <c r="C536" s="63" t="n"/>
      <c r="D536" s="62" t="n"/>
      <c r="E536" s="60" t="n"/>
      <c r="F536" s="60" t="n"/>
      <c r="G536" s="61" t="n"/>
      <c r="H536" s="69">
        <f>IF(OR(A536="",C536=""),"",COUNTIFS($A$7:$A$1006,A536,$C$7:$C$1006,"&lt;"&amp;C536)+1)</f>
        <v/>
      </c>
      <c r="I536" s="67">
        <f>IF(H536="","",IF(H536=1,"",C536-_xlfn.MAXIFS($C$7:$C$1006,$A$7:$A$1006,A536,$C$7:$C$1006,"&lt;"&amp;C536)))</f>
        <v/>
      </c>
      <c r="J536" s="68">
        <f>IF(I536="","",I536/TpM)</f>
        <v/>
      </c>
      <c r="K536" s="69">
        <f>IF(H536="","",COUNTIFS($A$7:$A$1006,A536,$C$7:$C$1006,"&gt;0")-H536)</f>
        <v/>
      </c>
      <c r="L536" s="69">
        <f>IF(H536="","",A536&amp;"|"&amp;H536)</f>
        <v/>
      </c>
      <c r="M536" s="69">
        <f>IF(A536="","",IFERROR(INDEX(Bestand!$AC$14:$AC$213,MATCH(A536,Bestand!$A$14:$A$213,0)),0))</f>
        <v/>
      </c>
      <c r="N536" s="69">
        <f>IF(OR(H536="",M536&lt;&gt;1),"",C536+ROW()/100000)</f>
        <v/>
      </c>
    </row>
    <row r="537" ht="20" customHeight="1">
      <c r="A537" s="60" t="n"/>
      <c r="B537" s="65">
        <f>IF(A537="","",IFERROR(INDEX(Bestand!$B$14:$B$213,MATCH(A537,Bestand!$A$14:$A$213,0)),"ID unbekannt"))</f>
        <v/>
      </c>
      <c r="C537" s="63" t="n"/>
      <c r="D537" s="62" t="n"/>
      <c r="E537" s="60" t="n"/>
      <c r="F537" s="60" t="n"/>
      <c r="G537" s="61" t="n"/>
      <c r="H537" s="69">
        <f>IF(OR(A537="",C537=""),"",COUNTIFS($A$7:$A$1006,A537,$C$7:$C$1006,"&lt;"&amp;C537)+1)</f>
        <v/>
      </c>
      <c r="I537" s="67">
        <f>IF(H537="","",IF(H537=1,"",C537-_xlfn.MAXIFS($C$7:$C$1006,$A$7:$A$1006,A537,$C$7:$C$1006,"&lt;"&amp;C537)))</f>
        <v/>
      </c>
      <c r="J537" s="68">
        <f>IF(I537="","",I537/TpM)</f>
        <v/>
      </c>
      <c r="K537" s="69">
        <f>IF(H537="","",COUNTIFS($A$7:$A$1006,A537,$C$7:$C$1006,"&gt;0")-H537)</f>
        <v/>
      </c>
      <c r="L537" s="69">
        <f>IF(H537="","",A537&amp;"|"&amp;H537)</f>
        <v/>
      </c>
      <c r="M537" s="69">
        <f>IF(A537="","",IFERROR(INDEX(Bestand!$AC$14:$AC$213,MATCH(A537,Bestand!$A$14:$A$213,0)),0))</f>
        <v/>
      </c>
      <c r="N537" s="69">
        <f>IF(OR(H537="",M537&lt;&gt;1),"",C537+ROW()/100000)</f>
        <v/>
      </c>
    </row>
    <row r="538" ht="20" customHeight="1">
      <c r="A538" s="60" t="n"/>
      <c r="B538" s="65">
        <f>IF(A538="","",IFERROR(INDEX(Bestand!$B$14:$B$213,MATCH(A538,Bestand!$A$14:$A$213,0)),"ID unbekannt"))</f>
        <v/>
      </c>
      <c r="C538" s="63" t="n"/>
      <c r="D538" s="62" t="n"/>
      <c r="E538" s="60" t="n"/>
      <c r="F538" s="60" t="n"/>
      <c r="G538" s="61" t="n"/>
      <c r="H538" s="69">
        <f>IF(OR(A538="",C538=""),"",COUNTIFS($A$7:$A$1006,A538,$C$7:$C$1006,"&lt;"&amp;C538)+1)</f>
        <v/>
      </c>
      <c r="I538" s="67">
        <f>IF(H538="","",IF(H538=1,"",C538-_xlfn.MAXIFS($C$7:$C$1006,$A$7:$A$1006,A538,$C$7:$C$1006,"&lt;"&amp;C538)))</f>
        <v/>
      </c>
      <c r="J538" s="68">
        <f>IF(I538="","",I538/TpM)</f>
        <v/>
      </c>
      <c r="K538" s="69">
        <f>IF(H538="","",COUNTIFS($A$7:$A$1006,A538,$C$7:$C$1006,"&gt;0")-H538)</f>
        <v/>
      </c>
      <c r="L538" s="69">
        <f>IF(H538="","",A538&amp;"|"&amp;H538)</f>
        <v/>
      </c>
      <c r="M538" s="69">
        <f>IF(A538="","",IFERROR(INDEX(Bestand!$AC$14:$AC$213,MATCH(A538,Bestand!$A$14:$A$213,0)),0))</f>
        <v/>
      </c>
      <c r="N538" s="69">
        <f>IF(OR(H538="",M538&lt;&gt;1),"",C538+ROW()/100000)</f>
        <v/>
      </c>
    </row>
    <row r="539" ht="20" customHeight="1">
      <c r="A539" s="60" t="n"/>
      <c r="B539" s="65">
        <f>IF(A539="","",IFERROR(INDEX(Bestand!$B$14:$B$213,MATCH(A539,Bestand!$A$14:$A$213,0)),"ID unbekannt"))</f>
        <v/>
      </c>
      <c r="C539" s="63" t="n"/>
      <c r="D539" s="62" t="n"/>
      <c r="E539" s="60" t="n"/>
      <c r="F539" s="60" t="n"/>
      <c r="G539" s="61" t="n"/>
      <c r="H539" s="69">
        <f>IF(OR(A539="",C539=""),"",COUNTIFS($A$7:$A$1006,A539,$C$7:$C$1006,"&lt;"&amp;C539)+1)</f>
        <v/>
      </c>
      <c r="I539" s="67">
        <f>IF(H539="","",IF(H539=1,"",C539-_xlfn.MAXIFS($C$7:$C$1006,$A$7:$A$1006,A539,$C$7:$C$1006,"&lt;"&amp;C539)))</f>
        <v/>
      </c>
      <c r="J539" s="68">
        <f>IF(I539="","",I539/TpM)</f>
        <v/>
      </c>
      <c r="K539" s="69">
        <f>IF(H539="","",COUNTIFS($A$7:$A$1006,A539,$C$7:$C$1006,"&gt;0")-H539)</f>
        <v/>
      </c>
      <c r="L539" s="69">
        <f>IF(H539="","",A539&amp;"|"&amp;H539)</f>
        <v/>
      </c>
      <c r="M539" s="69">
        <f>IF(A539="","",IFERROR(INDEX(Bestand!$AC$14:$AC$213,MATCH(A539,Bestand!$A$14:$A$213,0)),0))</f>
        <v/>
      </c>
      <c r="N539" s="69">
        <f>IF(OR(H539="",M539&lt;&gt;1),"",C539+ROW()/100000)</f>
        <v/>
      </c>
    </row>
    <row r="540" ht="20" customHeight="1">
      <c r="A540" s="60" t="n"/>
      <c r="B540" s="65">
        <f>IF(A540="","",IFERROR(INDEX(Bestand!$B$14:$B$213,MATCH(A540,Bestand!$A$14:$A$213,0)),"ID unbekannt"))</f>
        <v/>
      </c>
      <c r="C540" s="63" t="n"/>
      <c r="D540" s="62" t="n"/>
      <c r="E540" s="60" t="n"/>
      <c r="F540" s="60" t="n"/>
      <c r="G540" s="61" t="n"/>
      <c r="H540" s="69">
        <f>IF(OR(A540="",C540=""),"",COUNTIFS($A$7:$A$1006,A540,$C$7:$C$1006,"&lt;"&amp;C540)+1)</f>
        <v/>
      </c>
      <c r="I540" s="67">
        <f>IF(H540="","",IF(H540=1,"",C540-_xlfn.MAXIFS($C$7:$C$1006,$A$7:$A$1006,A540,$C$7:$C$1006,"&lt;"&amp;C540)))</f>
        <v/>
      </c>
      <c r="J540" s="68">
        <f>IF(I540="","",I540/TpM)</f>
        <v/>
      </c>
      <c r="K540" s="69">
        <f>IF(H540="","",COUNTIFS($A$7:$A$1006,A540,$C$7:$C$1006,"&gt;0")-H540)</f>
        <v/>
      </c>
      <c r="L540" s="69">
        <f>IF(H540="","",A540&amp;"|"&amp;H540)</f>
        <v/>
      </c>
      <c r="M540" s="69">
        <f>IF(A540="","",IFERROR(INDEX(Bestand!$AC$14:$AC$213,MATCH(A540,Bestand!$A$14:$A$213,0)),0))</f>
        <v/>
      </c>
      <c r="N540" s="69">
        <f>IF(OR(H540="",M540&lt;&gt;1),"",C540+ROW()/100000)</f>
        <v/>
      </c>
    </row>
    <row r="541" ht="20" customHeight="1">
      <c r="A541" s="60" t="n"/>
      <c r="B541" s="65">
        <f>IF(A541="","",IFERROR(INDEX(Bestand!$B$14:$B$213,MATCH(A541,Bestand!$A$14:$A$213,0)),"ID unbekannt"))</f>
        <v/>
      </c>
      <c r="C541" s="63" t="n"/>
      <c r="D541" s="62" t="n"/>
      <c r="E541" s="60" t="n"/>
      <c r="F541" s="60" t="n"/>
      <c r="G541" s="61" t="n"/>
      <c r="H541" s="69">
        <f>IF(OR(A541="",C541=""),"",COUNTIFS($A$7:$A$1006,A541,$C$7:$C$1006,"&lt;"&amp;C541)+1)</f>
        <v/>
      </c>
      <c r="I541" s="67">
        <f>IF(H541="","",IF(H541=1,"",C541-_xlfn.MAXIFS($C$7:$C$1006,$A$7:$A$1006,A541,$C$7:$C$1006,"&lt;"&amp;C541)))</f>
        <v/>
      </c>
      <c r="J541" s="68">
        <f>IF(I541="","",I541/TpM)</f>
        <v/>
      </c>
      <c r="K541" s="69">
        <f>IF(H541="","",COUNTIFS($A$7:$A$1006,A541,$C$7:$C$1006,"&gt;0")-H541)</f>
        <v/>
      </c>
      <c r="L541" s="69">
        <f>IF(H541="","",A541&amp;"|"&amp;H541)</f>
        <v/>
      </c>
      <c r="M541" s="69">
        <f>IF(A541="","",IFERROR(INDEX(Bestand!$AC$14:$AC$213,MATCH(A541,Bestand!$A$14:$A$213,0)),0))</f>
        <v/>
      </c>
      <c r="N541" s="69">
        <f>IF(OR(H541="",M541&lt;&gt;1),"",C541+ROW()/100000)</f>
        <v/>
      </c>
    </row>
    <row r="542" ht="20" customHeight="1">
      <c r="A542" s="60" t="n"/>
      <c r="B542" s="65">
        <f>IF(A542="","",IFERROR(INDEX(Bestand!$B$14:$B$213,MATCH(A542,Bestand!$A$14:$A$213,0)),"ID unbekannt"))</f>
        <v/>
      </c>
      <c r="C542" s="63" t="n"/>
      <c r="D542" s="62" t="n"/>
      <c r="E542" s="60" t="n"/>
      <c r="F542" s="60" t="n"/>
      <c r="G542" s="61" t="n"/>
      <c r="H542" s="69">
        <f>IF(OR(A542="",C542=""),"",COUNTIFS($A$7:$A$1006,A542,$C$7:$C$1006,"&lt;"&amp;C542)+1)</f>
        <v/>
      </c>
      <c r="I542" s="67">
        <f>IF(H542="","",IF(H542=1,"",C542-_xlfn.MAXIFS($C$7:$C$1006,$A$7:$A$1006,A542,$C$7:$C$1006,"&lt;"&amp;C542)))</f>
        <v/>
      </c>
      <c r="J542" s="68">
        <f>IF(I542="","",I542/TpM)</f>
        <v/>
      </c>
      <c r="K542" s="69">
        <f>IF(H542="","",COUNTIFS($A$7:$A$1006,A542,$C$7:$C$1006,"&gt;0")-H542)</f>
        <v/>
      </c>
      <c r="L542" s="69">
        <f>IF(H542="","",A542&amp;"|"&amp;H542)</f>
        <v/>
      </c>
      <c r="M542" s="69">
        <f>IF(A542="","",IFERROR(INDEX(Bestand!$AC$14:$AC$213,MATCH(A542,Bestand!$A$14:$A$213,0)),0))</f>
        <v/>
      </c>
      <c r="N542" s="69">
        <f>IF(OR(H542="",M542&lt;&gt;1),"",C542+ROW()/100000)</f>
        <v/>
      </c>
    </row>
    <row r="543" ht="20" customHeight="1">
      <c r="A543" s="60" t="n"/>
      <c r="B543" s="65">
        <f>IF(A543="","",IFERROR(INDEX(Bestand!$B$14:$B$213,MATCH(A543,Bestand!$A$14:$A$213,0)),"ID unbekannt"))</f>
        <v/>
      </c>
      <c r="C543" s="63" t="n"/>
      <c r="D543" s="62" t="n"/>
      <c r="E543" s="60" t="n"/>
      <c r="F543" s="60" t="n"/>
      <c r="G543" s="61" t="n"/>
      <c r="H543" s="69">
        <f>IF(OR(A543="",C543=""),"",COUNTIFS($A$7:$A$1006,A543,$C$7:$C$1006,"&lt;"&amp;C543)+1)</f>
        <v/>
      </c>
      <c r="I543" s="67">
        <f>IF(H543="","",IF(H543=1,"",C543-_xlfn.MAXIFS($C$7:$C$1006,$A$7:$A$1006,A543,$C$7:$C$1006,"&lt;"&amp;C543)))</f>
        <v/>
      </c>
      <c r="J543" s="68">
        <f>IF(I543="","",I543/TpM)</f>
        <v/>
      </c>
      <c r="K543" s="69">
        <f>IF(H543="","",COUNTIFS($A$7:$A$1006,A543,$C$7:$C$1006,"&gt;0")-H543)</f>
        <v/>
      </c>
      <c r="L543" s="69">
        <f>IF(H543="","",A543&amp;"|"&amp;H543)</f>
        <v/>
      </c>
      <c r="M543" s="69">
        <f>IF(A543="","",IFERROR(INDEX(Bestand!$AC$14:$AC$213,MATCH(A543,Bestand!$A$14:$A$213,0)),0))</f>
        <v/>
      </c>
      <c r="N543" s="69">
        <f>IF(OR(H543="",M543&lt;&gt;1),"",C543+ROW()/100000)</f>
        <v/>
      </c>
    </row>
    <row r="544" ht="20" customHeight="1">
      <c r="A544" s="60" t="n"/>
      <c r="B544" s="65">
        <f>IF(A544="","",IFERROR(INDEX(Bestand!$B$14:$B$213,MATCH(A544,Bestand!$A$14:$A$213,0)),"ID unbekannt"))</f>
        <v/>
      </c>
      <c r="C544" s="63" t="n"/>
      <c r="D544" s="62" t="n"/>
      <c r="E544" s="60" t="n"/>
      <c r="F544" s="60" t="n"/>
      <c r="G544" s="61" t="n"/>
      <c r="H544" s="69">
        <f>IF(OR(A544="",C544=""),"",COUNTIFS($A$7:$A$1006,A544,$C$7:$C$1006,"&lt;"&amp;C544)+1)</f>
        <v/>
      </c>
      <c r="I544" s="67">
        <f>IF(H544="","",IF(H544=1,"",C544-_xlfn.MAXIFS($C$7:$C$1006,$A$7:$A$1006,A544,$C$7:$C$1006,"&lt;"&amp;C544)))</f>
        <v/>
      </c>
      <c r="J544" s="68">
        <f>IF(I544="","",I544/TpM)</f>
        <v/>
      </c>
      <c r="K544" s="69">
        <f>IF(H544="","",COUNTIFS($A$7:$A$1006,A544,$C$7:$C$1006,"&gt;0")-H544)</f>
        <v/>
      </c>
      <c r="L544" s="69">
        <f>IF(H544="","",A544&amp;"|"&amp;H544)</f>
        <v/>
      </c>
      <c r="M544" s="69">
        <f>IF(A544="","",IFERROR(INDEX(Bestand!$AC$14:$AC$213,MATCH(A544,Bestand!$A$14:$A$213,0)),0))</f>
        <v/>
      </c>
      <c r="N544" s="69">
        <f>IF(OR(H544="",M544&lt;&gt;1),"",C544+ROW()/100000)</f>
        <v/>
      </c>
    </row>
    <row r="545" ht="20" customHeight="1">
      <c r="A545" s="60" t="n"/>
      <c r="B545" s="65">
        <f>IF(A545="","",IFERROR(INDEX(Bestand!$B$14:$B$213,MATCH(A545,Bestand!$A$14:$A$213,0)),"ID unbekannt"))</f>
        <v/>
      </c>
      <c r="C545" s="63" t="n"/>
      <c r="D545" s="62" t="n"/>
      <c r="E545" s="60" t="n"/>
      <c r="F545" s="60" t="n"/>
      <c r="G545" s="61" t="n"/>
      <c r="H545" s="69">
        <f>IF(OR(A545="",C545=""),"",COUNTIFS($A$7:$A$1006,A545,$C$7:$C$1006,"&lt;"&amp;C545)+1)</f>
        <v/>
      </c>
      <c r="I545" s="67">
        <f>IF(H545="","",IF(H545=1,"",C545-_xlfn.MAXIFS($C$7:$C$1006,$A$7:$A$1006,A545,$C$7:$C$1006,"&lt;"&amp;C545)))</f>
        <v/>
      </c>
      <c r="J545" s="68">
        <f>IF(I545="","",I545/TpM)</f>
        <v/>
      </c>
      <c r="K545" s="69">
        <f>IF(H545="","",COUNTIFS($A$7:$A$1006,A545,$C$7:$C$1006,"&gt;0")-H545)</f>
        <v/>
      </c>
      <c r="L545" s="69">
        <f>IF(H545="","",A545&amp;"|"&amp;H545)</f>
        <v/>
      </c>
      <c r="M545" s="69">
        <f>IF(A545="","",IFERROR(INDEX(Bestand!$AC$14:$AC$213,MATCH(A545,Bestand!$A$14:$A$213,0)),0))</f>
        <v/>
      </c>
      <c r="N545" s="69">
        <f>IF(OR(H545="",M545&lt;&gt;1),"",C545+ROW()/100000)</f>
        <v/>
      </c>
    </row>
    <row r="546" ht="20" customHeight="1">
      <c r="A546" s="60" t="n"/>
      <c r="B546" s="65">
        <f>IF(A546="","",IFERROR(INDEX(Bestand!$B$14:$B$213,MATCH(A546,Bestand!$A$14:$A$213,0)),"ID unbekannt"))</f>
        <v/>
      </c>
      <c r="C546" s="63" t="n"/>
      <c r="D546" s="62" t="n"/>
      <c r="E546" s="60" t="n"/>
      <c r="F546" s="60" t="n"/>
      <c r="G546" s="61" t="n"/>
      <c r="H546" s="69">
        <f>IF(OR(A546="",C546=""),"",COUNTIFS($A$7:$A$1006,A546,$C$7:$C$1006,"&lt;"&amp;C546)+1)</f>
        <v/>
      </c>
      <c r="I546" s="67">
        <f>IF(H546="","",IF(H546=1,"",C546-_xlfn.MAXIFS($C$7:$C$1006,$A$7:$A$1006,A546,$C$7:$C$1006,"&lt;"&amp;C546)))</f>
        <v/>
      </c>
      <c r="J546" s="68">
        <f>IF(I546="","",I546/TpM)</f>
        <v/>
      </c>
      <c r="K546" s="69">
        <f>IF(H546="","",COUNTIFS($A$7:$A$1006,A546,$C$7:$C$1006,"&gt;0")-H546)</f>
        <v/>
      </c>
      <c r="L546" s="69">
        <f>IF(H546="","",A546&amp;"|"&amp;H546)</f>
        <v/>
      </c>
      <c r="M546" s="69">
        <f>IF(A546="","",IFERROR(INDEX(Bestand!$AC$14:$AC$213,MATCH(A546,Bestand!$A$14:$A$213,0)),0))</f>
        <v/>
      </c>
      <c r="N546" s="69">
        <f>IF(OR(H546="",M546&lt;&gt;1),"",C546+ROW()/100000)</f>
        <v/>
      </c>
    </row>
    <row r="547" ht="20" customHeight="1">
      <c r="A547" s="60" t="n"/>
      <c r="B547" s="65">
        <f>IF(A547="","",IFERROR(INDEX(Bestand!$B$14:$B$213,MATCH(A547,Bestand!$A$14:$A$213,0)),"ID unbekannt"))</f>
        <v/>
      </c>
      <c r="C547" s="63" t="n"/>
      <c r="D547" s="62" t="n"/>
      <c r="E547" s="60" t="n"/>
      <c r="F547" s="60" t="n"/>
      <c r="G547" s="61" t="n"/>
      <c r="H547" s="69">
        <f>IF(OR(A547="",C547=""),"",COUNTIFS($A$7:$A$1006,A547,$C$7:$C$1006,"&lt;"&amp;C547)+1)</f>
        <v/>
      </c>
      <c r="I547" s="67">
        <f>IF(H547="","",IF(H547=1,"",C547-_xlfn.MAXIFS($C$7:$C$1006,$A$7:$A$1006,A547,$C$7:$C$1006,"&lt;"&amp;C547)))</f>
        <v/>
      </c>
      <c r="J547" s="68">
        <f>IF(I547="","",I547/TpM)</f>
        <v/>
      </c>
      <c r="K547" s="69">
        <f>IF(H547="","",COUNTIFS($A$7:$A$1006,A547,$C$7:$C$1006,"&gt;0")-H547)</f>
        <v/>
      </c>
      <c r="L547" s="69">
        <f>IF(H547="","",A547&amp;"|"&amp;H547)</f>
        <v/>
      </c>
      <c r="M547" s="69">
        <f>IF(A547="","",IFERROR(INDEX(Bestand!$AC$14:$AC$213,MATCH(A547,Bestand!$A$14:$A$213,0)),0))</f>
        <v/>
      </c>
      <c r="N547" s="69">
        <f>IF(OR(H547="",M547&lt;&gt;1),"",C547+ROW()/100000)</f>
        <v/>
      </c>
    </row>
    <row r="548" ht="20" customHeight="1">
      <c r="A548" s="60" t="n"/>
      <c r="B548" s="65">
        <f>IF(A548="","",IFERROR(INDEX(Bestand!$B$14:$B$213,MATCH(A548,Bestand!$A$14:$A$213,0)),"ID unbekannt"))</f>
        <v/>
      </c>
      <c r="C548" s="63" t="n"/>
      <c r="D548" s="62" t="n"/>
      <c r="E548" s="60" t="n"/>
      <c r="F548" s="60" t="n"/>
      <c r="G548" s="61" t="n"/>
      <c r="H548" s="69">
        <f>IF(OR(A548="",C548=""),"",COUNTIFS($A$7:$A$1006,A548,$C$7:$C$1006,"&lt;"&amp;C548)+1)</f>
        <v/>
      </c>
      <c r="I548" s="67">
        <f>IF(H548="","",IF(H548=1,"",C548-_xlfn.MAXIFS($C$7:$C$1006,$A$7:$A$1006,A548,$C$7:$C$1006,"&lt;"&amp;C548)))</f>
        <v/>
      </c>
      <c r="J548" s="68">
        <f>IF(I548="","",I548/TpM)</f>
        <v/>
      </c>
      <c r="K548" s="69">
        <f>IF(H548="","",COUNTIFS($A$7:$A$1006,A548,$C$7:$C$1006,"&gt;0")-H548)</f>
        <v/>
      </c>
      <c r="L548" s="69">
        <f>IF(H548="","",A548&amp;"|"&amp;H548)</f>
        <v/>
      </c>
      <c r="M548" s="69">
        <f>IF(A548="","",IFERROR(INDEX(Bestand!$AC$14:$AC$213,MATCH(A548,Bestand!$A$14:$A$213,0)),0))</f>
        <v/>
      </c>
      <c r="N548" s="69">
        <f>IF(OR(H548="",M548&lt;&gt;1),"",C548+ROW()/100000)</f>
        <v/>
      </c>
    </row>
    <row r="549" ht="20" customHeight="1">
      <c r="A549" s="60" t="n"/>
      <c r="B549" s="65">
        <f>IF(A549="","",IFERROR(INDEX(Bestand!$B$14:$B$213,MATCH(A549,Bestand!$A$14:$A$213,0)),"ID unbekannt"))</f>
        <v/>
      </c>
      <c r="C549" s="63" t="n"/>
      <c r="D549" s="62" t="n"/>
      <c r="E549" s="60" t="n"/>
      <c r="F549" s="60" t="n"/>
      <c r="G549" s="61" t="n"/>
      <c r="H549" s="69">
        <f>IF(OR(A549="",C549=""),"",COUNTIFS($A$7:$A$1006,A549,$C$7:$C$1006,"&lt;"&amp;C549)+1)</f>
        <v/>
      </c>
      <c r="I549" s="67">
        <f>IF(H549="","",IF(H549=1,"",C549-_xlfn.MAXIFS($C$7:$C$1006,$A$7:$A$1006,A549,$C$7:$C$1006,"&lt;"&amp;C549)))</f>
        <v/>
      </c>
      <c r="J549" s="68">
        <f>IF(I549="","",I549/TpM)</f>
        <v/>
      </c>
      <c r="K549" s="69">
        <f>IF(H549="","",COUNTIFS($A$7:$A$1006,A549,$C$7:$C$1006,"&gt;0")-H549)</f>
        <v/>
      </c>
      <c r="L549" s="69">
        <f>IF(H549="","",A549&amp;"|"&amp;H549)</f>
        <v/>
      </c>
      <c r="M549" s="69">
        <f>IF(A549="","",IFERROR(INDEX(Bestand!$AC$14:$AC$213,MATCH(A549,Bestand!$A$14:$A$213,0)),0))</f>
        <v/>
      </c>
      <c r="N549" s="69">
        <f>IF(OR(H549="",M549&lt;&gt;1),"",C549+ROW()/100000)</f>
        <v/>
      </c>
    </row>
    <row r="550" ht="20" customHeight="1">
      <c r="A550" s="60" t="n"/>
      <c r="B550" s="65">
        <f>IF(A550="","",IFERROR(INDEX(Bestand!$B$14:$B$213,MATCH(A550,Bestand!$A$14:$A$213,0)),"ID unbekannt"))</f>
        <v/>
      </c>
      <c r="C550" s="63" t="n"/>
      <c r="D550" s="62" t="n"/>
      <c r="E550" s="60" t="n"/>
      <c r="F550" s="60" t="n"/>
      <c r="G550" s="61" t="n"/>
      <c r="H550" s="69">
        <f>IF(OR(A550="",C550=""),"",COUNTIFS($A$7:$A$1006,A550,$C$7:$C$1006,"&lt;"&amp;C550)+1)</f>
        <v/>
      </c>
      <c r="I550" s="67">
        <f>IF(H550="","",IF(H550=1,"",C550-_xlfn.MAXIFS($C$7:$C$1006,$A$7:$A$1006,A550,$C$7:$C$1006,"&lt;"&amp;C550)))</f>
        <v/>
      </c>
      <c r="J550" s="68">
        <f>IF(I550="","",I550/TpM)</f>
        <v/>
      </c>
      <c r="K550" s="69">
        <f>IF(H550="","",COUNTIFS($A$7:$A$1006,A550,$C$7:$C$1006,"&gt;0")-H550)</f>
        <v/>
      </c>
      <c r="L550" s="69">
        <f>IF(H550="","",A550&amp;"|"&amp;H550)</f>
        <v/>
      </c>
      <c r="M550" s="69">
        <f>IF(A550="","",IFERROR(INDEX(Bestand!$AC$14:$AC$213,MATCH(A550,Bestand!$A$14:$A$213,0)),0))</f>
        <v/>
      </c>
      <c r="N550" s="69">
        <f>IF(OR(H550="",M550&lt;&gt;1),"",C550+ROW()/100000)</f>
        <v/>
      </c>
    </row>
    <row r="551" ht="20" customHeight="1">
      <c r="A551" s="60" t="n"/>
      <c r="B551" s="65">
        <f>IF(A551="","",IFERROR(INDEX(Bestand!$B$14:$B$213,MATCH(A551,Bestand!$A$14:$A$213,0)),"ID unbekannt"))</f>
        <v/>
      </c>
      <c r="C551" s="63" t="n"/>
      <c r="D551" s="62" t="n"/>
      <c r="E551" s="60" t="n"/>
      <c r="F551" s="60" t="n"/>
      <c r="G551" s="61" t="n"/>
      <c r="H551" s="69">
        <f>IF(OR(A551="",C551=""),"",COUNTIFS($A$7:$A$1006,A551,$C$7:$C$1006,"&lt;"&amp;C551)+1)</f>
        <v/>
      </c>
      <c r="I551" s="67">
        <f>IF(H551="","",IF(H551=1,"",C551-_xlfn.MAXIFS($C$7:$C$1006,$A$7:$A$1006,A551,$C$7:$C$1006,"&lt;"&amp;C551)))</f>
        <v/>
      </c>
      <c r="J551" s="68">
        <f>IF(I551="","",I551/TpM)</f>
        <v/>
      </c>
      <c r="K551" s="69">
        <f>IF(H551="","",COUNTIFS($A$7:$A$1006,A551,$C$7:$C$1006,"&gt;0")-H551)</f>
        <v/>
      </c>
      <c r="L551" s="69">
        <f>IF(H551="","",A551&amp;"|"&amp;H551)</f>
        <v/>
      </c>
      <c r="M551" s="69">
        <f>IF(A551="","",IFERROR(INDEX(Bestand!$AC$14:$AC$213,MATCH(A551,Bestand!$A$14:$A$213,0)),0))</f>
        <v/>
      </c>
      <c r="N551" s="69">
        <f>IF(OR(H551="",M551&lt;&gt;1),"",C551+ROW()/100000)</f>
        <v/>
      </c>
    </row>
    <row r="552" ht="20" customHeight="1">
      <c r="A552" s="60" t="n"/>
      <c r="B552" s="65">
        <f>IF(A552="","",IFERROR(INDEX(Bestand!$B$14:$B$213,MATCH(A552,Bestand!$A$14:$A$213,0)),"ID unbekannt"))</f>
        <v/>
      </c>
      <c r="C552" s="63" t="n"/>
      <c r="D552" s="62" t="n"/>
      <c r="E552" s="60" t="n"/>
      <c r="F552" s="60" t="n"/>
      <c r="G552" s="61" t="n"/>
      <c r="H552" s="69">
        <f>IF(OR(A552="",C552=""),"",COUNTIFS($A$7:$A$1006,A552,$C$7:$C$1006,"&lt;"&amp;C552)+1)</f>
        <v/>
      </c>
      <c r="I552" s="67">
        <f>IF(H552="","",IF(H552=1,"",C552-_xlfn.MAXIFS($C$7:$C$1006,$A$7:$A$1006,A552,$C$7:$C$1006,"&lt;"&amp;C552)))</f>
        <v/>
      </c>
      <c r="J552" s="68">
        <f>IF(I552="","",I552/TpM)</f>
        <v/>
      </c>
      <c r="K552" s="69">
        <f>IF(H552="","",COUNTIFS($A$7:$A$1006,A552,$C$7:$C$1006,"&gt;0")-H552)</f>
        <v/>
      </c>
      <c r="L552" s="69">
        <f>IF(H552="","",A552&amp;"|"&amp;H552)</f>
        <v/>
      </c>
      <c r="M552" s="69">
        <f>IF(A552="","",IFERROR(INDEX(Bestand!$AC$14:$AC$213,MATCH(A552,Bestand!$A$14:$A$213,0)),0))</f>
        <v/>
      </c>
      <c r="N552" s="69">
        <f>IF(OR(H552="",M552&lt;&gt;1),"",C552+ROW()/100000)</f>
        <v/>
      </c>
    </row>
    <row r="553" ht="20" customHeight="1">
      <c r="A553" s="60" t="n"/>
      <c r="B553" s="65">
        <f>IF(A553="","",IFERROR(INDEX(Bestand!$B$14:$B$213,MATCH(A553,Bestand!$A$14:$A$213,0)),"ID unbekannt"))</f>
        <v/>
      </c>
      <c r="C553" s="63" t="n"/>
      <c r="D553" s="62" t="n"/>
      <c r="E553" s="60" t="n"/>
      <c r="F553" s="60" t="n"/>
      <c r="G553" s="61" t="n"/>
      <c r="H553" s="69">
        <f>IF(OR(A553="",C553=""),"",COUNTIFS($A$7:$A$1006,A553,$C$7:$C$1006,"&lt;"&amp;C553)+1)</f>
        <v/>
      </c>
      <c r="I553" s="67">
        <f>IF(H553="","",IF(H553=1,"",C553-_xlfn.MAXIFS($C$7:$C$1006,$A$7:$A$1006,A553,$C$7:$C$1006,"&lt;"&amp;C553)))</f>
        <v/>
      </c>
      <c r="J553" s="68">
        <f>IF(I553="","",I553/TpM)</f>
        <v/>
      </c>
      <c r="K553" s="69">
        <f>IF(H553="","",COUNTIFS($A$7:$A$1006,A553,$C$7:$C$1006,"&gt;0")-H553)</f>
        <v/>
      </c>
      <c r="L553" s="69">
        <f>IF(H553="","",A553&amp;"|"&amp;H553)</f>
        <v/>
      </c>
      <c r="M553" s="69">
        <f>IF(A553="","",IFERROR(INDEX(Bestand!$AC$14:$AC$213,MATCH(A553,Bestand!$A$14:$A$213,0)),0))</f>
        <v/>
      </c>
      <c r="N553" s="69">
        <f>IF(OR(H553="",M553&lt;&gt;1),"",C553+ROW()/100000)</f>
        <v/>
      </c>
    </row>
    <row r="554" ht="20" customHeight="1">
      <c r="A554" s="60" t="n"/>
      <c r="B554" s="65">
        <f>IF(A554="","",IFERROR(INDEX(Bestand!$B$14:$B$213,MATCH(A554,Bestand!$A$14:$A$213,0)),"ID unbekannt"))</f>
        <v/>
      </c>
      <c r="C554" s="63" t="n"/>
      <c r="D554" s="62" t="n"/>
      <c r="E554" s="60" t="n"/>
      <c r="F554" s="60" t="n"/>
      <c r="G554" s="61" t="n"/>
      <c r="H554" s="69">
        <f>IF(OR(A554="",C554=""),"",COUNTIFS($A$7:$A$1006,A554,$C$7:$C$1006,"&lt;"&amp;C554)+1)</f>
        <v/>
      </c>
      <c r="I554" s="67">
        <f>IF(H554="","",IF(H554=1,"",C554-_xlfn.MAXIFS($C$7:$C$1006,$A$7:$A$1006,A554,$C$7:$C$1006,"&lt;"&amp;C554)))</f>
        <v/>
      </c>
      <c r="J554" s="68">
        <f>IF(I554="","",I554/TpM)</f>
        <v/>
      </c>
      <c r="K554" s="69">
        <f>IF(H554="","",COUNTIFS($A$7:$A$1006,A554,$C$7:$C$1006,"&gt;0")-H554)</f>
        <v/>
      </c>
      <c r="L554" s="69">
        <f>IF(H554="","",A554&amp;"|"&amp;H554)</f>
        <v/>
      </c>
      <c r="M554" s="69">
        <f>IF(A554="","",IFERROR(INDEX(Bestand!$AC$14:$AC$213,MATCH(A554,Bestand!$A$14:$A$213,0)),0))</f>
        <v/>
      </c>
      <c r="N554" s="69">
        <f>IF(OR(H554="",M554&lt;&gt;1),"",C554+ROW()/100000)</f>
        <v/>
      </c>
    </row>
    <row r="555" ht="20" customHeight="1">
      <c r="A555" s="60" t="n"/>
      <c r="B555" s="65">
        <f>IF(A555="","",IFERROR(INDEX(Bestand!$B$14:$B$213,MATCH(A555,Bestand!$A$14:$A$213,0)),"ID unbekannt"))</f>
        <v/>
      </c>
      <c r="C555" s="63" t="n"/>
      <c r="D555" s="62" t="n"/>
      <c r="E555" s="60" t="n"/>
      <c r="F555" s="60" t="n"/>
      <c r="G555" s="61" t="n"/>
      <c r="H555" s="69">
        <f>IF(OR(A555="",C555=""),"",COUNTIFS($A$7:$A$1006,A555,$C$7:$C$1006,"&lt;"&amp;C555)+1)</f>
        <v/>
      </c>
      <c r="I555" s="67">
        <f>IF(H555="","",IF(H555=1,"",C555-_xlfn.MAXIFS($C$7:$C$1006,$A$7:$A$1006,A555,$C$7:$C$1006,"&lt;"&amp;C555)))</f>
        <v/>
      </c>
      <c r="J555" s="68">
        <f>IF(I555="","",I555/TpM)</f>
        <v/>
      </c>
      <c r="K555" s="69">
        <f>IF(H555="","",COUNTIFS($A$7:$A$1006,A555,$C$7:$C$1006,"&gt;0")-H555)</f>
        <v/>
      </c>
      <c r="L555" s="69">
        <f>IF(H555="","",A555&amp;"|"&amp;H555)</f>
        <v/>
      </c>
      <c r="M555" s="69">
        <f>IF(A555="","",IFERROR(INDEX(Bestand!$AC$14:$AC$213,MATCH(A555,Bestand!$A$14:$A$213,0)),0))</f>
        <v/>
      </c>
      <c r="N555" s="69">
        <f>IF(OR(H555="",M555&lt;&gt;1),"",C555+ROW()/100000)</f>
        <v/>
      </c>
    </row>
    <row r="556" ht="20" customHeight="1">
      <c r="A556" s="60" t="n"/>
      <c r="B556" s="65">
        <f>IF(A556="","",IFERROR(INDEX(Bestand!$B$14:$B$213,MATCH(A556,Bestand!$A$14:$A$213,0)),"ID unbekannt"))</f>
        <v/>
      </c>
      <c r="C556" s="63" t="n"/>
      <c r="D556" s="62" t="n"/>
      <c r="E556" s="60" t="n"/>
      <c r="F556" s="60" t="n"/>
      <c r="G556" s="61" t="n"/>
      <c r="H556" s="69">
        <f>IF(OR(A556="",C556=""),"",COUNTIFS($A$7:$A$1006,A556,$C$7:$C$1006,"&lt;"&amp;C556)+1)</f>
        <v/>
      </c>
      <c r="I556" s="67">
        <f>IF(H556="","",IF(H556=1,"",C556-_xlfn.MAXIFS($C$7:$C$1006,$A$7:$A$1006,A556,$C$7:$C$1006,"&lt;"&amp;C556)))</f>
        <v/>
      </c>
      <c r="J556" s="68">
        <f>IF(I556="","",I556/TpM)</f>
        <v/>
      </c>
      <c r="K556" s="69">
        <f>IF(H556="","",COUNTIFS($A$7:$A$1006,A556,$C$7:$C$1006,"&gt;0")-H556)</f>
        <v/>
      </c>
      <c r="L556" s="69">
        <f>IF(H556="","",A556&amp;"|"&amp;H556)</f>
        <v/>
      </c>
      <c r="M556" s="69">
        <f>IF(A556="","",IFERROR(INDEX(Bestand!$AC$14:$AC$213,MATCH(A556,Bestand!$A$14:$A$213,0)),0))</f>
        <v/>
      </c>
      <c r="N556" s="69">
        <f>IF(OR(H556="",M556&lt;&gt;1),"",C556+ROW()/100000)</f>
        <v/>
      </c>
    </row>
    <row r="557" ht="20" customHeight="1">
      <c r="A557" s="60" t="n"/>
      <c r="B557" s="65">
        <f>IF(A557="","",IFERROR(INDEX(Bestand!$B$14:$B$213,MATCH(A557,Bestand!$A$14:$A$213,0)),"ID unbekannt"))</f>
        <v/>
      </c>
      <c r="C557" s="63" t="n"/>
      <c r="D557" s="62" t="n"/>
      <c r="E557" s="60" t="n"/>
      <c r="F557" s="60" t="n"/>
      <c r="G557" s="61" t="n"/>
      <c r="H557" s="69">
        <f>IF(OR(A557="",C557=""),"",COUNTIFS($A$7:$A$1006,A557,$C$7:$C$1006,"&lt;"&amp;C557)+1)</f>
        <v/>
      </c>
      <c r="I557" s="67">
        <f>IF(H557="","",IF(H557=1,"",C557-_xlfn.MAXIFS($C$7:$C$1006,$A$7:$A$1006,A557,$C$7:$C$1006,"&lt;"&amp;C557)))</f>
        <v/>
      </c>
      <c r="J557" s="68">
        <f>IF(I557="","",I557/TpM)</f>
        <v/>
      </c>
      <c r="K557" s="69">
        <f>IF(H557="","",COUNTIFS($A$7:$A$1006,A557,$C$7:$C$1006,"&gt;0")-H557)</f>
        <v/>
      </c>
      <c r="L557" s="69">
        <f>IF(H557="","",A557&amp;"|"&amp;H557)</f>
        <v/>
      </c>
      <c r="M557" s="69">
        <f>IF(A557="","",IFERROR(INDEX(Bestand!$AC$14:$AC$213,MATCH(A557,Bestand!$A$14:$A$213,0)),0))</f>
        <v/>
      </c>
      <c r="N557" s="69">
        <f>IF(OR(H557="",M557&lt;&gt;1),"",C557+ROW()/100000)</f>
        <v/>
      </c>
    </row>
    <row r="558" ht="20" customHeight="1">
      <c r="A558" s="60" t="n"/>
      <c r="B558" s="65">
        <f>IF(A558="","",IFERROR(INDEX(Bestand!$B$14:$B$213,MATCH(A558,Bestand!$A$14:$A$213,0)),"ID unbekannt"))</f>
        <v/>
      </c>
      <c r="C558" s="63" t="n"/>
      <c r="D558" s="62" t="n"/>
      <c r="E558" s="60" t="n"/>
      <c r="F558" s="60" t="n"/>
      <c r="G558" s="61" t="n"/>
      <c r="H558" s="69">
        <f>IF(OR(A558="",C558=""),"",COUNTIFS($A$7:$A$1006,A558,$C$7:$C$1006,"&lt;"&amp;C558)+1)</f>
        <v/>
      </c>
      <c r="I558" s="67">
        <f>IF(H558="","",IF(H558=1,"",C558-_xlfn.MAXIFS($C$7:$C$1006,$A$7:$A$1006,A558,$C$7:$C$1006,"&lt;"&amp;C558)))</f>
        <v/>
      </c>
      <c r="J558" s="68">
        <f>IF(I558="","",I558/TpM)</f>
        <v/>
      </c>
      <c r="K558" s="69">
        <f>IF(H558="","",COUNTIFS($A$7:$A$1006,A558,$C$7:$C$1006,"&gt;0")-H558)</f>
        <v/>
      </c>
      <c r="L558" s="69">
        <f>IF(H558="","",A558&amp;"|"&amp;H558)</f>
        <v/>
      </c>
      <c r="M558" s="69">
        <f>IF(A558="","",IFERROR(INDEX(Bestand!$AC$14:$AC$213,MATCH(A558,Bestand!$A$14:$A$213,0)),0))</f>
        <v/>
      </c>
      <c r="N558" s="69">
        <f>IF(OR(H558="",M558&lt;&gt;1),"",C558+ROW()/100000)</f>
        <v/>
      </c>
    </row>
    <row r="559" ht="20" customHeight="1">
      <c r="A559" s="60" t="n"/>
      <c r="B559" s="65">
        <f>IF(A559="","",IFERROR(INDEX(Bestand!$B$14:$B$213,MATCH(A559,Bestand!$A$14:$A$213,0)),"ID unbekannt"))</f>
        <v/>
      </c>
      <c r="C559" s="63" t="n"/>
      <c r="D559" s="62" t="n"/>
      <c r="E559" s="60" t="n"/>
      <c r="F559" s="60" t="n"/>
      <c r="G559" s="61" t="n"/>
      <c r="H559" s="69">
        <f>IF(OR(A559="",C559=""),"",COUNTIFS($A$7:$A$1006,A559,$C$7:$C$1006,"&lt;"&amp;C559)+1)</f>
        <v/>
      </c>
      <c r="I559" s="67">
        <f>IF(H559="","",IF(H559=1,"",C559-_xlfn.MAXIFS($C$7:$C$1006,$A$7:$A$1006,A559,$C$7:$C$1006,"&lt;"&amp;C559)))</f>
        <v/>
      </c>
      <c r="J559" s="68">
        <f>IF(I559="","",I559/TpM)</f>
        <v/>
      </c>
      <c r="K559" s="69">
        <f>IF(H559="","",COUNTIFS($A$7:$A$1006,A559,$C$7:$C$1006,"&gt;0")-H559)</f>
        <v/>
      </c>
      <c r="L559" s="69">
        <f>IF(H559="","",A559&amp;"|"&amp;H559)</f>
        <v/>
      </c>
      <c r="M559" s="69">
        <f>IF(A559="","",IFERROR(INDEX(Bestand!$AC$14:$AC$213,MATCH(A559,Bestand!$A$14:$A$213,0)),0))</f>
        <v/>
      </c>
      <c r="N559" s="69">
        <f>IF(OR(H559="",M559&lt;&gt;1),"",C559+ROW()/100000)</f>
        <v/>
      </c>
    </row>
    <row r="560" ht="20" customHeight="1">
      <c r="A560" s="60" t="n"/>
      <c r="B560" s="65">
        <f>IF(A560="","",IFERROR(INDEX(Bestand!$B$14:$B$213,MATCH(A560,Bestand!$A$14:$A$213,0)),"ID unbekannt"))</f>
        <v/>
      </c>
      <c r="C560" s="63" t="n"/>
      <c r="D560" s="62" t="n"/>
      <c r="E560" s="60" t="n"/>
      <c r="F560" s="60" t="n"/>
      <c r="G560" s="61" t="n"/>
      <c r="H560" s="69">
        <f>IF(OR(A560="",C560=""),"",COUNTIFS($A$7:$A$1006,A560,$C$7:$C$1006,"&lt;"&amp;C560)+1)</f>
        <v/>
      </c>
      <c r="I560" s="67">
        <f>IF(H560="","",IF(H560=1,"",C560-_xlfn.MAXIFS($C$7:$C$1006,$A$7:$A$1006,A560,$C$7:$C$1006,"&lt;"&amp;C560)))</f>
        <v/>
      </c>
      <c r="J560" s="68">
        <f>IF(I560="","",I560/TpM)</f>
        <v/>
      </c>
      <c r="K560" s="69">
        <f>IF(H560="","",COUNTIFS($A$7:$A$1006,A560,$C$7:$C$1006,"&gt;0")-H560)</f>
        <v/>
      </c>
      <c r="L560" s="69">
        <f>IF(H560="","",A560&amp;"|"&amp;H560)</f>
        <v/>
      </c>
      <c r="M560" s="69">
        <f>IF(A560="","",IFERROR(INDEX(Bestand!$AC$14:$AC$213,MATCH(A560,Bestand!$A$14:$A$213,0)),0))</f>
        <v/>
      </c>
      <c r="N560" s="69">
        <f>IF(OR(H560="",M560&lt;&gt;1),"",C560+ROW()/100000)</f>
        <v/>
      </c>
    </row>
    <row r="561" ht="20" customHeight="1">
      <c r="A561" s="60" t="n"/>
      <c r="B561" s="65">
        <f>IF(A561="","",IFERROR(INDEX(Bestand!$B$14:$B$213,MATCH(A561,Bestand!$A$14:$A$213,0)),"ID unbekannt"))</f>
        <v/>
      </c>
      <c r="C561" s="63" t="n"/>
      <c r="D561" s="62" t="n"/>
      <c r="E561" s="60" t="n"/>
      <c r="F561" s="60" t="n"/>
      <c r="G561" s="61" t="n"/>
      <c r="H561" s="69">
        <f>IF(OR(A561="",C561=""),"",COUNTIFS($A$7:$A$1006,A561,$C$7:$C$1006,"&lt;"&amp;C561)+1)</f>
        <v/>
      </c>
      <c r="I561" s="67">
        <f>IF(H561="","",IF(H561=1,"",C561-_xlfn.MAXIFS($C$7:$C$1006,$A$7:$A$1006,A561,$C$7:$C$1006,"&lt;"&amp;C561)))</f>
        <v/>
      </c>
      <c r="J561" s="68">
        <f>IF(I561="","",I561/TpM)</f>
        <v/>
      </c>
      <c r="K561" s="69">
        <f>IF(H561="","",COUNTIFS($A$7:$A$1006,A561,$C$7:$C$1006,"&gt;0")-H561)</f>
        <v/>
      </c>
      <c r="L561" s="69">
        <f>IF(H561="","",A561&amp;"|"&amp;H561)</f>
        <v/>
      </c>
      <c r="M561" s="69">
        <f>IF(A561="","",IFERROR(INDEX(Bestand!$AC$14:$AC$213,MATCH(A561,Bestand!$A$14:$A$213,0)),0))</f>
        <v/>
      </c>
      <c r="N561" s="69">
        <f>IF(OR(H561="",M561&lt;&gt;1),"",C561+ROW()/100000)</f>
        <v/>
      </c>
    </row>
    <row r="562" ht="20" customHeight="1">
      <c r="A562" s="60" t="n"/>
      <c r="B562" s="65">
        <f>IF(A562="","",IFERROR(INDEX(Bestand!$B$14:$B$213,MATCH(A562,Bestand!$A$14:$A$213,0)),"ID unbekannt"))</f>
        <v/>
      </c>
      <c r="C562" s="63" t="n"/>
      <c r="D562" s="62" t="n"/>
      <c r="E562" s="60" t="n"/>
      <c r="F562" s="60" t="n"/>
      <c r="G562" s="61" t="n"/>
      <c r="H562" s="69">
        <f>IF(OR(A562="",C562=""),"",COUNTIFS($A$7:$A$1006,A562,$C$7:$C$1006,"&lt;"&amp;C562)+1)</f>
        <v/>
      </c>
      <c r="I562" s="67">
        <f>IF(H562="","",IF(H562=1,"",C562-_xlfn.MAXIFS($C$7:$C$1006,$A$7:$A$1006,A562,$C$7:$C$1006,"&lt;"&amp;C562)))</f>
        <v/>
      </c>
      <c r="J562" s="68">
        <f>IF(I562="","",I562/TpM)</f>
        <v/>
      </c>
      <c r="K562" s="69">
        <f>IF(H562="","",COUNTIFS($A$7:$A$1006,A562,$C$7:$C$1006,"&gt;0")-H562)</f>
        <v/>
      </c>
      <c r="L562" s="69">
        <f>IF(H562="","",A562&amp;"|"&amp;H562)</f>
        <v/>
      </c>
      <c r="M562" s="69">
        <f>IF(A562="","",IFERROR(INDEX(Bestand!$AC$14:$AC$213,MATCH(A562,Bestand!$A$14:$A$213,0)),0))</f>
        <v/>
      </c>
      <c r="N562" s="69">
        <f>IF(OR(H562="",M562&lt;&gt;1),"",C562+ROW()/100000)</f>
        <v/>
      </c>
    </row>
    <row r="563" ht="20" customHeight="1">
      <c r="A563" s="60" t="n"/>
      <c r="B563" s="65">
        <f>IF(A563="","",IFERROR(INDEX(Bestand!$B$14:$B$213,MATCH(A563,Bestand!$A$14:$A$213,0)),"ID unbekannt"))</f>
        <v/>
      </c>
      <c r="C563" s="63" t="n"/>
      <c r="D563" s="62" t="n"/>
      <c r="E563" s="60" t="n"/>
      <c r="F563" s="60" t="n"/>
      <c r="G563" s="61" t="n"/>
      <c r="H563" s="69">
        <f>IF(OR(A563="",C563=""),"",COUNTIFS($A$7:$A$1006,A563,$C$7:$C$1006,"&lt;"&amp;C563)+1)</f>
        <v/>
      </c>
      <c r="I563" s="67">
        <f>IF(H563="","",IF(H563=1,"",C563-_xlfn.MAXIFS($C$7:$C$1006,$A$7:$A$1006,A563,$C$7:$C$1006,"&lt;"&amp;C563)))</f>
        <v/>
      </c>
      <c r="J563" s="68">
        <f>IF(I563="","",I563/TpM)</f>
        <v/>
      </c>
      <c r="K563" s="69">
        <f>IF(H563="","",COUNTIFS($A$7:$A$1006,A563,$C$7:$C$1006,"&gt;0")-H563)</f>
        <v/>
      </c>
      <c r="L563" s="69">
        <f>IF(H563="","",A563&amp;"|"&amp;H563)</f>
        <v/>
      </c>
      <c r="M563" s="69">
        <f>IF(A563="","",IFERROR(INDEX(Bestand!$AC$14:$AC$213,MATCH(A563,Bestand!$A$14:$A$213,0)),0))</f>
        <v/>
      </c>
      <c r="N563" s="69">
        <f>IF(OR(H563="",M563&lt;&gt;1),"",C563+ROW()/100000)</f>
        <v/>
      </c>
    </row>
    <row r="564" ht="20" customHeight="1">
      <c r="A564" s="60" t="n"/>
      <c r="B564" s="65">
        <f>IF(A564="","",IFERROR(INDEX(Bestand!$B$14:$B$213,MATCH(A564,Bestand!$A$14:$A$213,0)),"ID unbekannt"))</f>
        <v/>
      </c>
      <c r="C564" s="63" t="n"/>
      <c r="D564" s="62" t="n"/>
      <c r="E564" s="60" t="n"/>
      <c r="F564" s="60" t="n"/>
      <c r="G564" s="61" t="n"/>
      <c r="H564" s="69">
        <f>IF(OR(A564="",C564=""),"",COUNTIFS($A$7:$A$1006,A564,$C$7:$C$1006,"&lt;"&amp;C564)+1)</f>
        <v/>
      </c>
      <c r="I564" s="67">
        <f>IF(H564="","",IF(H564=1,"",C564-_xlfn.MAXIFS($C$7:$C$1006,$A$7:$A$1006,A564,$C$7:$C$1006,"&lt;"&amp;C564)))</f>
        <v/>
      </c>
      <c r="J564" s="68">
        <f>IF(I564="","",I564/TpM)</f>
        <v/>
      </c>
      <c r="K564" s="69">
        <f>IF(H564="","",COUNTIFS($A$7:$A$1006,A564,$C$7:$C$1006,"&gt;0")-H564)</f>
        <v/>
      </c>
      <c r="L564" s="69">
        <f>IF(H564="","",A564&amp;"|"&amp;H564)</f>
        <v/>
      </c>
      <c r="M564" s="69">
        <f>IF(A564="","",IFERROR(INDEX(Bestand!$AC$14:$AC$213,MATCH(A564,Bestand!$A$14:$A$213,0)),0))</f>
        <v/>
      </c>
      <c r="N564" s="69">
        <f>IF(OR(H564="",M564&lt;&gt;1),"",C564+ROW()/100000)</f>
        <v/>
      </c>
    </row>
    <row r="565" ht="20" customHeight="1">
      <c r="A565" s="60" t="n"/>
      <c r="B565" s="65">
        <f>IF(A565="","",IFERROR(INDEX(Bestand!$B$14:$B$213,MATCH(A565,Bestand!$A$14:$A$213,0)),"ID unbekannt"))</f>
        <v/>
      </c>
      <c r="C565" s="63" t="n"/>
      <c r="D565" s="62" t="n"/>
      <c r="E565" s="60" t="n"/>
      <c r="F565" s="60" t="n"/>
      <c r="G565" s="61" t="n"/>
      <c r="H565" s="69">
        <f>IF(OR(A565="",C565=""),"",COUNTIFS($A$7:$A$1006,A565,$C$7:$C$1006,"&lt;"&amp;C565)+1)</f>
        <v/>
      </c>
      <c r="I565" s="67">
        <f>IF(H565="","",IF(H565=1,"",C565-_xlfn.MAXIFS($C$7:$C$1006,$A$7:$A$1006,A565,$C$7:$C$1006,"&lt;"&amp;C565)))</f>
        <v/>
      </c>
      <c r="J565" s="68">
        <f>IF(I565="","",I565/TpM)</f>
        <v/>
      </c>
      <c r="K565" s="69">
        <f>IF(H565="","",COUNTIFS($A$7:$A$1006,A565,$C$7:$C$1006,"&gt;0")-H565)</f>
        <v/>
      </c>
      <c r="L565" s="69">
        <f>IF(H565="","",A565&amp;"|"&amp;H565)</f>
        <v/>
      </c>
      <c r="M565" s="69">
        <f>IF(A565="","",IFERROR(INDEX(Bestand!$AC$14:$AC$213,MATCH(A565,Bestand!$A$14:$A$213,0)),0))</f>
        <v/>
      </c>
      <c r="N565" s="69">
        <f>IF(OR(H565="",M565&lt;&gt;1),"",C565+ROW()/100000)</f>
        <v/>
      </c>
    </row>
    <row r="566" ht="20" customHeight="1">
      <c r="A566" s="60" t="n"/>
      <c r="B566" s="65">
        <f>IF(A566="","",IFERROR(INDEX(Bestand!$B$14:$B$213,MATCH(A566,Bestand!$A$14:$A$213,0)),"ID unbekannt"))</f>
        <v/>
      </c>
      <c r="C566" s="63" t="n"/>
      <c r="D566" s="62" t="n"/>
      <c r="E566" s="60" t="n"/>
      <c r="F566" s="60" t="n"/>
      <c r="G566" s="61" t="n"/>
      <c r="H566" s="69">
        <f>IF(OR(A566="",C566=""),"",COUNTIFS($A$7:$A$1006,A566,$C$7:$C$1006,"&lt;"&amp;C566)+1)</f>
        <v/>
      </c>
      <c r="I566" s="67">
        <f>IF(H566="","",IF(H566=1,"",C566-_xlfn.MAXIFS($C$7:$C$1006,$A$7:$A$1006,A566,$C$7:$C$1006,"&lt;"&amp;C566)))</f>
        <v/>
      </c>
      <c r="J566" s="68">
        <f>IF(I566="","",I566/TpM)</f>
        <v/>
      </c>
      <c r="K566" s="69">
        <f>IF(H566="","",COUNTIFS($A$7:$A$1006,A566,$C$7:$C$1006,"&gt;0")-H566)</f>
        <v/>
      </c>
      <c r="L566" s="69">
        <f>IF(H566="","",A566&amp;"|"&amp;H566)</f>
        <v/>
      </c>
      <c r="M566" s="69">
        <f>IF(A566="","",IFERROR(INDEX(Bestand!$AC$14:$AC$213,MATCH(A566,Bestand!$A$14:$A$213,0)),0))</f>
        <v/>
      </c>
      <c r="N566" s="69">
        <f>IF(OR(H566="",M566&lt;&gt;1),"",C566+ROW()/100000)</f>
        <v/>
      </c>
    </row>
    <row r="567" ht="20" customHeight="1">
      <c r="A567" s="60" t="n"/>
      <c r="B567" s="65">
        <f>IF(A567="","",IFERROR(INDEX(Bestand!$B$14:$B$213,MATCH(A567,Bestand!$A$14:$A$213,0)),"ID unbekannt"))</f>
        <v/>
      </c>
      <c r="C567" s="63" t="n"/>
      <c r="D567" s="62" t="n"/>
      <c r="E567" s="60" t="n"/>
      <c r="F567" s="60" t="n"/>
      <c r="G567" s="61" t="n"/>
      <c r="H567" s="69">
        <f>IF(OR(A567="",C567=""),"",COUNTIFS($A$7:$A$1006,A567,$C$7:$C$1006,"&lt;"&amp;C567)+1)</f>
        <v/>
      </c>
      <c r="I567" s="67">
        <f>IF(H567="","",IF(H567=1,"",C567-_xlfn.MAXIFS($C$7:$C$1006,$A$7:$A$1006,A567,$C$7:$C$1006,"&lt;"&amp;C567)))</f>
        <v/>
      </c>
      <c r="J567" s="68">
        <f>IF(I567="","",I567/TpM)</f>
        <v/>
      </c>
      <c r="K567" s="69">
        <f>IF(H567="","",COUNTIFS($A$7:$A$1006,A567,$C$7:$C$1006,"&gt;0")-H567)</f>
        <v/>
      </c>
      <c r="L567" s="69">
        <f>IF(H567="","",A567&amp;"|"&amp;H567)</f>
        <v/>
      </c>
      <c r="M567" s="69">
        <f>IF(A567="","",IFERROR(INDEX(Bestand!$AC$14:$AC$213,MATCH(A567,Bestand!$A$14:$A$213,0)),0))</f>
        <v/>
      </c>
      <c r="N567" s="69">
        <f>IF(OR(H567="",M567&lt;&gt;1),"",C567+ROW()/100000)</f>
        <v/>
      </c>
    </row>
    <row r="568" ht="20" customHeight="1">
      <c r="A568" s="60" t="n"/>
      <c r="B568" s="65">
        <f>IF(A568="","",IFERROR(INDEX(Bestand!$B$14:$B$213,MATCH(A568,Bestand!$A$14:$A$213,0)),"ID unbekannt"))</f>
        <v/>
      </c>
      <c r="C568" s="63" t="n"/>
      <c r="D568" s="62" t="n"/>
      <c r="E568" s="60" t="n"/>
      <c r="F568" s="60" t="n"/>
      <c r="G568" s="61" t="n"/>
      <c r="H568" s="69">
        <f>IF(OR(A568="",C568=""),"",COUNTIFS($A$7:$A$1006,A568,$C$7:$C$1006,"&lt;"&amp;C568)+1)</f>
        <v/>
      </c>
      <c r="I568" s="67">
        <f>IF(H568="","",IF(H568=1,"",C568-_xlfn.MAXIFS($C$7:$C$1006,$A$7:$A$1006,A568,$C$7:$C$1006,"&lt;"&amp;C568)))</f>
        <v/>
      </c>
      <c r="J568" s="68">
        <f>IF(I568="","",I568/TpM)</f>
        <v/>
      </c>
      <c r="K568" s="69">
        <f>IF(H568="","",COUNTIFS($A$7:$A$1006,A568,$C$7:$C$1006,"&gt;0")-H568)</f>
        <v/>
      </c>
      <c r="L568" s="69">
        <f>IF(H568="","",A568&amp;"|"&amp;H568)</f>
        <v/>
      </c>
      <c r="M568" s="69">
        <f>IF(A568="","",IFERROR(INDEX(Bestand!$AC$14:$AC$213,MATCH(A568,Bestand!$A$14:$A$213,0)),0))</f>
        <v/>
      </c>
      <c r="N568" s="69">
        <f>IF(OR(H568="",M568&lt;&gt;1),"",C568+ROW()/100000)</f>
        <v/>
      </c>
    </row>
    <row r="569" ht="20" customHeight="1">
      <c r="A569" s="60" t="n"/>
      <c r="B569" s="65">
        <f>IF(A569="","",IFERROR(INDEX(Bestand!$B$14:$B$213,MATCH(A569,Bestand!$A$14:$A$213,0)),"ID unbekannt"))</f>
        <v/>
      </c>
      <c r="C569" s="63" t="n"/>
      <c r="D569" s="62" t="n"/>
      <c r="E569" s="60" t="n"/>
      <c r="F569" s="60" t="n"/>
      <c r="G569" s="61" t="n"/>
      <c r="H569" s="69">
        <f>IF(OR(A569="",C569=""),"",COUNTIFS($A$7:$A$1006,A569,$C$7:$C$1006,"&lt;"&amp;C569)+1)</f>
        <v/>
      </c>
      <c r="I569" s="67">
        <f>IF(H569="","",IF(H569=1,"",C569-_xlfn.MAXIFS($C$7:$C$1006,$A$7:$A$1006,A569,$C$7:$C$1006,"&lt;"&amp;C569)))</f>
        <v/>
      </c>
      <c r="J569" s="68">
        <f>IF(I569="","",I569/TpM)</f>
        <v/>
      </c>
      <c r="K569" s="69">
        <f>IF(H569="","",COUNTIFS($A$7:$A$1006,A569,$C$7:$C$1006,"&gt;0")-H569)</f>
        <v/>
      </c>
      <c r="L569" s="69">
        <f>IF(H569="","",A569&amp;"|"&amp;H569)</f>
        <v/>
      </c>
      <c r="M569" s="69">
        <f>IF(A569="","",IFERROR(INDEX(Bestand!$AC$14:$AC$213,MATCH(A569,Bestand!$A$14:$A$213,0)),0))</f>
        <v/>
      </c>
      <c r="N569" s="69">
        <f>IF(OR(H569="",M569&lt;&gt;1),"",C569+ROW()/100000)</f>
        <v/>
      </c>
    </row>
    <row r="570" ht="20" customHeight="1">
      <c r="A570" s="60" t="n"/>
      <c r="B570" s="65">
        <f>IF(A570="","",IFERROR(INDEX(Bestand!$B$14:$B$213,MATCH(A570,Bestand!$A$14:$A$213,0)),"ID unbekannt"))</f>
        <v/>
      </c>
      <c r="C570" s="63" t="n"/>
      <c r="D570" s="62" t="n"/>
      <c r="E570" s="60" t="n"/>
      <c r="F570" s="60" t="n"/>
      <c r="G570" s="61" t="n"/>
      <c r="H570" s="69">
        <f>IF(OR(A570="",C570=""),"",COUNTIFS($A$7:$A$1006,A570,$C$7:$C$1006,"&lt;"&amp;C570)+1)</f>
        <v/>
      </c>
      <c r="I570" s="67">
        <f>IF(H570="","",IF(H570=1,"",C570-_xlfn.MAXIFS($C$7:$C$1006,$A$7:$A$1006,A570,$C$7:$C$1006,"&lt;"&amp;C570)))</f>
        <v/>
      </c>
      <c r="J570" s="68">
        <f>IF(I570="","",I570/TpM)</f>
        <v/>
      </c>
      <c r="K570" s="69">
        <f>IF(H570="","",COUNTIFS($A$7:$A$1006,A570,$C$7:$C$1006,"&gt;0")-H570)</f>
        <v/>
      </c>
      <c r="L570" s="69">
        <f>IF(H570="","",A570&amp;"|"&amp;H570)</f>
        <v/>
      </c>
      <c r="M570" s="69">
        <f>IF(A570="","",IFERROR(INDEX(Bestand!$AC$14:$AC$213,MATCH(A570,Bestand!$A$14:$A$213,0)),0))</f>
        <v/>
      </c>
      <c r="N570" s="69">
        <f>IF(OR(H570="",M570&lt;&gt;1),"",C570+ROW()/100000)</f>
        <v/>
      </c>
    </row>
    <row r="571" ht="20" customHeight="1">
      <c r="A571" s="60" t="n"/>
      <c r="B571" s="65">
        <f>IF(A571="","",IFERROR(INDEX(Bestand!$B$14:$B$213,MATCH(A571,Bestand!$A$14:$A$213,0)),"ID unbekannt"))</f>
        <v/>
      </c>
      <c r="C571" s="63" t="n"/>
      <c r="D571" s="62" t="n"/>
      <c r="E571" s="60" t="n"/>
      <c r="F571" s="60" t="n"/>
      <c r="G571" s="61" t="n"/>
      <c r="H571" s="69">
        <f>IF(OR(A571="",C571=""),"",COUNTIFS($A$7:$A$1006,A571,$C$7:$C$1006,"&lt;"&amp;C571)+1)</f>
        <v/>
      </c>
      <c r="I571" s="67">
        <f>IF(H571="","",IF(H571=1,"",C571-_xlfn.MAXIFS($C$7:$C$1006,$A$7:$A$1006,A571,$C$7:$C$1006,"&lt;"&amp;C571)))</f>
        <v/>
      </c>
      <c r="J571" s="68">
        <f>IF(I571="","",I571/TpM)</f>
        <v/>
      </c>
      <c r="K571" s="69">
        <f>IF(H571="","",COUNTIFS($A$7:$A$1006,A571,$C$7:$C$1006,"&gt;0")-H571)</f>
        <v/>
      </c>
      <c r="L571" s="69">
        <f>IF(H571="","",A571&amp;"|"&amp;H571)</f>
        <v/>
      </c>
      <c r="M571" s="69">
        <f>IF(A571="","",IFERROR(INDEX(Bestand!$AC$14:$AC$213,MATCH(A571,Bestand!$A$14:$A$213,0)),0))</f>
        <v/>
      </c>
      <c r="N571" s="69">
        <f>IF(OR(H571="",M571&lt;&gt;1),"",C571+ROW()/100000)</f>
        <v/>
      </c>
    </row>
    <row r="572" ht="20" customHeight="1">
      <c r="A572" s="60" t="n"/>
      <c r="B572" s="65">
        <f>IF(A572="","",IFERROR(INDEX(Bestand!$B$14:$B$213,MATCH(A572,Bestand!$A$14:$A$213,0)),"ID unbekannt"))</f>
        <v/>
      </c>
      <c r="C572" s="63" t="n"/>
      <c r="D572" s="62" t="n"/>
      <c r="E572" s="60" t="n"/>
      <c r="F572" s="60" t="n"/>
      <c r="G572" s="61" t="n"/>
      <c r="H572" s="69">
        <f>IF(OR(A572="",C572=""),"",COUNTIFS($A$7:$A$1006,A572,$C$7:$C$1006,"&lt;"&amp;C572)+1)</f>
        <v/>
      </c>
      <c r="I572" s="67">
        <f>IF(H572="","",IF(H572=1,"",C572-_xlfn.MAXIFS($C$7:$C$1006,$A$7:$A$1006,A572,$C$7:$C$1006,"&lt;"&amp;C572)))</f>
        <v/>
      </c>
      <c r="J572" s="68">
        <f>IF(I572="","",I572/TpM)</f>
        <v/>
      </c>
      <c r="K572" s="69">
        <f>IF(H572="","",COUNTIFS($A$7:$A$1006,A572,$C$7:$C$1006,"&gt;0")-H572)</f>
        <v/>
      </c>
      <c r="L572" s="69">
        <f>IF(H572="","",A572&amp;"|"&amp;H572)</f>
        <v/>
      </c>
      <c r="M572" s="69">
        <f>IF(A572="","",IFERROR(INDEX(Bestand!$AC$14:$AC$213,MATCH(A572,Bestand!$A$14:$A$213,0)),0))</f>
        <v/>
      </c>
      <c r="N572" s="69">
        <f>IF(OR(H572="",M572&lt;&gt;1),"",C572+ROW()/100000)</f>
        <v/>
      </c>
    </row>
    <row r="573" ht="20" customHeight="1">
      <c r="A573" s="60" t="n"/>
      <c r="B573" s="65">
        <f>IF(A573="","",IFERROR(INDEX(Bestand!$B$14:$B$213,MATCH(A573,Bestand!$A$14:$A$213,0)),"ID unbekannt"))</f>
        <v/>
      </c>
      <c r="C573" s="63" t="n"/>
      <c r="D573" s="62" t="n"/>
      <c r="E573" s="60" t="n"/>
      <c r="F573" s="60" t="n"/>
      <c r="G573" s="61" t="n"/>
      <c r="H573" s="69">
        <f>IF(OR(A573="",C573=""),"",COUNTIFS($A$7:$A$1006,A573,$C$7:$C$1006,"&lt;"&amp;C573)+1)</f>
        <v/>
      </c>
      <c r="I573" s="67">
        <f>IF(H573="","",IF(H573=1,"",C573-_xlfn.MAXIFS($C$7:$C$1006,$A$7:$A$1006,A573,$C$7:$C$1006,"&lt;"&amp;C573)))</f>
        <v/>
      </c>
      <c r="J573" s="68">
        <f>IF(I573="","",I573/TpM)</f>
        <v/>
      </c>
      <c r="K573" s="69">
        <f>IF(H573="","",COUNTIFS($A$7:$A$1006,A573,$C$7:$C$1006,"&gt;0")-H573)</f>
        <v/>
      </c>
      <c r="L573" s="69">
        <f>IF(H573="","",A573&amp;"|"&amp;H573)</f>
        <v/>
      </c>
      <c r="M573" s="69">
        <f>IF(A573="","",IFERROR(INDEX(Bestand!$AC$14:$AC$213,MATCH(A573,Bestand!$A$14:$A$213,0)),0))</f>
        <v/>
      </c>
      <c r="N573" s="69">
        <f>IF(OR(H573="",M573&lt;&gt;1),"",C573+ROW()/100000)</f>
        <v/>
      </c>
    </row>
    <row r="574" ht="20" customHeight="1">
      <c r="A574" s="60" t="n"/>
      <c r="B574" s="65">
        <f>IF(A574="","",IFERROR(INDEX(Bestand!$B$14:$B$213,MATCH(A574,Bestand!$A$14:$A$213,0)),"ID unbekannt"))</f>
        <v/>
      </c>
      <c r="C574" s="63" t="n"/>
      <c r="D574" s="62" t="n"/>
      <c r="E574" s="60" t="n"/>
      <c r="F574" s="60" t="n"/>
      <c r="G574" s="61" t="n"/>
      <c r="H574" s="69">
        <f>IF(OR(A574="",C574=""),"",COUNTIFS($A$7:$A$1006,A574,$C$7:$C$1006,"&lt;"&amp;C574)+1)</f>
        <v/>
      </c>
      <c r="I574" s="67">
        <f>IF(H574="","",IF(H574=1,"",C574-_xlfn.MAXIFS($C$7:$C$1006,$A$7:$A$1006,A574,$C$7:$C$1006,"&lt;"&amp;C574)))</f>
        <v/>
      </c>
      <c r="J574" s="68">
        <f>IF(I574="","",I574/TpM)</f>
        <v/>
      </c>
      <c r="K574" s="69">
        <f>IF(H574="","",COUNTIFS($A$7:$A$1006,A574,$C$7:$C$1006,"&gt;0")-H574)</f>
        <v/>
      </c>
      <c r="L574" s="69">
        <f>IF(H574="","",A574&amp;"|"&amp;H574)</f>
        <v/>
      </c>
      <c r="M574" s="69">
        <f>IF(A574="","",IFERROR(INDEX(Bestand!$AC$14:$AC$213,MATCH(A574,Bestand!$A$14:$A$213,0)),0))</f>
        <v/>
      </c>
      <c r="N574" s="69">
        <f>IF(OR(H574="",M574&lt;&gt;1),"",C574+ROW()/100000)</f>
        <v/>
      </c>
    </row>
    <row r="575" ht="20" customHeight="1">
      <c r="A575" s="60" t="n"/>
      <c r="B575" s="65">
        <f>IF(A575="","",IFERROR(INDEX(Bestand!$B$14:$B$213,MATCH(A575,Bestand!$A$14:$A$213,0)),"ID unbekannt"))</f>
        <v/>
      </c>
      <c r="C575" s="63" t="n"/>
      <c r="D575" s="62" t="n"/>
      <c r="E575" s="60" t="n"/>
      <c r="F575" s="60" t="n"/>
      <c r="G575" s="61" t="n"/>
      <c r="H575" s="69">
        <f>IF(OR(A575="",C575=""),"",COUNTIFS($A$7:$A$1006,A575,$C$7:$C$1006,"&lt;"&amp;C575)+1)</f>
        <v/>
      </c>
      <c r="I575" s="67">
        <f>IF(H575="","",IF(H575=1,"",C575-_xlfn.MAXIFS($C$7:$C$1006,$A$7:$A$1006,A575,$C$7:$C$1006,"&lt;"&amp;C575)))</f>
        <v/>
      </c>
      <c r="J575" s="68">
        <f>IF(I575="","",I575/TpM)</f>
        <v/>
      </c>
      <c r="K575" s="69">
        <f>IF(H575="","",COUNTIFS($A$7:$A$1006,A575,$C$7:$C$1006,"&gt;0")-H575)</f>
        <v/>
      </c>
      <c r="L575" s="69">
        <f>IF(H575="","",A575&amp;"|"&amp;H575)</f>
        <v/>
      </c>
      <c r="M575" s="69">
        <f>IF(A575="","",IFERROR(INDEX(Bestand!$AC$14:$AC$213,MATCH(A575,Bestand!$A$14:$A$213,0)),0))</f>
        <v/>
      </c>
      <c r="N575" s="69">
        <f>IF(OR(H575="",M575&lt;&gt;1),"",C575+ROW()/100000)</f>
        <v/>
      </c>
    </row>
    <row r="576" ht="20" customHeight="1">
      <c r="A576" s="60" t="n"/>
      <c r="B576" s="65">
        <f>IF(A576="","",IFERROR(INDEX(Bestand!$B$14:$B$213,MATCH(A576,Bestand!$A$14:$A$213,0)),"ID unbekannt"))</f>
        <v/>
      </c>
      <c r="C576" s="63" t="n"/>
      <c r="D576" s="62" t="n"/>
      <c r="E576" s="60" t="n"/>
      <c r="F576" s="60" t="n"/>
      <c r="G576" s="61" t="n"/>
      <c r="H576" s="69">
        <f>IF(OR(A576="",C576=""),"",COUNTIFS($A$7:$A$1006,A576,$C$7:$C$1006,"&lt;"&amp;C576)+1)</f>
        <v/>
      </c>
      <c r="I576" s="67">
        <f>IF(H576="","",IF(H576=1,"",C576-_xlfn.MAXIFS($C$7:$C$1006,$A$7:$A$1006,A576,$C$7:$C$1006,"&lt;"&amp;C576)))</f>
        <v/>
      </c>
      <c r="J576" s="68">
        <f>IF(I576="","",I576/TpM)</f>
        <v/>
      </c>
      <c r="K576" s="69">
        <f>IF(H576="","",COUNTIFS($A$7:$A$1006,A576,$C$7:$C$1006,"&gt;0")-H576)</f>
        <v/>
      </c>
      <c r="L576" s="69">
        <f>IF(H576="","",A576&amp;"|"&amp;H576)</f>
        <v/>
      </c>
      <c r="M576" s="69">
        <f>IF(A576="","",IFERROR(INDEX(Bestand!$AC$14:$AC$213,MATCH(A576,Bestand!$A$14:$A$213,0)),0))</f>
        <v/>
      </c>
      <c r="N576" s="69">
        <f>IF(OR(H576="",M576&lt;&gt;1),"",C576+ROW()/100000)</f>
        <v/>
      </c>
    </row>
    <row r="577" ht="20" customHeight="1">
      <c r="A577" s="60" t="n"/>
      <c r="B577" s="65">
        <f>IF(A577="","",IFERROR(INDEX(Bestand!$B$14:$B$213,MATCH(A577,Bestand!$A$14:$A$213,0)),"ID unbekannt"))</f>
        <v/>
      </c>
      <c r="C577" s="63" t="n"/>
      <c r="D577" s="62" t="n"/>
      <c r="E577" s="60" t="n"/>
      <c r="F577" s="60" t="n"/>
      <c r="G577" s="61" t="n"/>
      <c r="H577" s="69">
        <f>IF(OR(A577="",C577=""),"",COUNTIFS($A$7:$A$1006,A577,$C$7:$C$1006,"&lt;"&amp;C577)+1)</f>
        <v/>
      </c>
      <c r="I577" s="67">
        <f>IF(H577="","",IF(H577=1,"",C577-_xlfn.MAXIFS($C$7:$C$1006,$A$7:$A$1006,A577,$C$7:$C$1006,"&lt;"&amp;C577)))</f>
        <v/>
      </c>
      <c r="J577" s="68">
        <f>IF(I577="","",I577/TpM)</f>
        <v/>
      </c>
      <c r="K577" s="69">
        <f>IF(H577="","",COUNTIFS($A$7:$A$1006,A577,$C$7:$C$1006,"&gt;0")-H577)</f>
        <v/>
      </c>
      <c r="L577" s="69">
        <f>IF(H577="","",A577&amp;"|"&amp;H577)</f>
        <v/>
      </c>
      <c r="M577" s="69">
        <f>IF(A577="","",IFERROR(INDEX(Bestand!$AC$14:$AC$213,MATCH(A577,Bestand!$A$14:$A$213,0)),0))</f>
        <v/>
      </c>
      <c r="N577" s="69">
        <f>IF(OR(H577="",M577&lt;&gt;1),"",C577+ROW()/100000)</f>
        <v/>
      </c>
    </row>
    <row r="578" ht="20" customHeight="1">
      <c r="A578" s="60" t="n"/>
      <c r="B578" s="65">
        <f>IF(A578="","",IFERROR(INDEX(Bestand!$B$14:$B$213,MATCH(A578,Bestand!$A$14:$A$213,0)),"ID unbekannt"))</f>
        <v/>
      </c>
      <c r="C578" s="63" t="n"/>
      <c r="D578" s="62" t="n"/>
      <c r="E578" s="60" t="n"/>
      <c r="F578" s="60" t="n"/>
      <c r="G578" s="61" t="n"/>
      <c r="H578" s="69">
        <f>IF(OR(A578="",C578=""),"",COUNTIFS($A$7:$A$1006,A578,$C$7:$C$1006,"&lt;"&amp;C578)+1)</f>
        <v/>
      </c>
      <c r="I578" s="67">
        <f>IF(H578="","",IF(H578=1,"",C578-_xlfn.MAXIFS($C$7:$C$1006,$A$7:$A$1006,A578,$C$7:$C$1006,"&lt;"&amp;C578)))</f>
        <v/>
      </c>
      <c r="J578" s="68">
        <f>IF(I578="","",I578/TpM)</f>
        <v/>
      </c>
      <c r="K578" s="69">
        <f>IF(H578="","",COUNTIFS($A$7:$A$1006,A578,$C$7:$C$1006,"&gt;0")-H578)</f>
        <v/>
      </c>
      <c r="L578" s="69">
        <f>IF(H578="","",A578&amp;"|"&amp;H578)</f>
        <v/>
      </c>
      <c r="M578" s="69">
        <f>IF(A578="","",IFERROR(INDEX(Bestand!$AC$14:$AC$213,MATCH(A578,Bestand!$A$14:$A$213,0)),0))</f>
        <v/>
      </c>
      <c r="N578" s="69">
        <f>IF(OR(H578="",M578&lt;&gt;1),"",C578+ROW()/100000)</f>
        <v/>
      </c>
    </row>
    <row r="579" ht="20" customHeight="1">
      <c r="A579" s="60" t="n"/>
      <c r="B579" s="65">
        <f>IF(A579="","",IFERROR(INDEX(Bestand!$B$14:$B$213,MATCH(A579,Bestand!$A$14:$A$213,0)),"ID unbekannt"))</f>
        <v/>
      </c>
      <c r="C579" s="63" t="n"/>
      <c r="D579" s="62" t="n"/>
      <c r="E579" s="60" t="n"/>
      <c r="F579" s="60" t="n"/>
      <c r="G579" s="61" t="n"/>
      <c r="H579" s="69">
        <f>IF(OR(A579="",C579=""),"",COUNTIFS($A$7:$A$1006,A579,$C$7:$C$1006,"&lt;"&amp;C579)+1)</f>
        <v/>
      </c>
      <c r="I579" s="67">
        <f>IF(H579="","",IF(H579=1,"",C579-_xlfn.MAXIFS($C$7:$C$1006,$A$7:$A$1006,A579,$C$7:$C$1006,"&lt;"&amp;C579)))</f>
        <v/>
      </c>
      <c r="J579" s="68">
        <f>IF(I579="","",I579/TpM)</f>
        <v/>
      </c>
      <c r="K579" s="69">
        <f>IF(H579="","",COUNTIFS($A$7:$A$1006,A579,$C$7:$C$1006,"&gt;0")-H579)</f>
        <v/>
      </c>
      <c r="L579" s="69">
        <f>IF(H579="","",A579&amp;"|"&amp;H579)</f>
        <v/>
      </c>
      <c r="M579" s="69">
        <f>IF(A579="","",IFERROR(INDEX(Bestand!$AC$14:$AC$213,MATCH(A579,Bestand!$A$14:$A$213,0)),0))</f>
        <v/>
      </c>
      <c r="N579" s="69">
        <f>IF(OR(H579="",M579&lt;&gt;1),"",C579+ROW()/100000)</f>
        <v/>
      </c>
    </row>
    <row r="580" ht="20" customHeight="1">
      <c r="A580" s="60" t="n"/>
      <c r="B580" s="65">
        <f>IF(A580="","",IFERROR(INDEX(Bestand!$B$14:$B$213,MATCH(A580,Bestand!$A$14:$A$213,0)),"ID unbekannt"))</f>
        <v/>
      </c>
      <c r="C580" s="63" t="n"/>
      <c r="D580" s="62" t="n"/>
      <c r="E580" s="60" t="n"/>
      <c r="F580" s="60" t="n"/>
      <c r="G580" s="61" t="n"/>
      <c r="H580" s="69">
        <f>IF(OR(A580="",C580=""),"",COUNTIFS($A$7:$A$1006,A580,$C$7:$C$1006,"&lt;"&amp;C580)+1)</f>
        <v/>
      </c>
      <c r="I580" s="67">
        <f>IF(H580="","",IF(H580=1,"",C580-_xlfn.MAXIFS($C$7:$C$1006,$A$7:$A$1006,A580,$C$7:$C$1006,"&lt;"&amp;C580)))</f>
        <v/>
      </c>
      <c r="J580" s="68">
        <f>IF(I580="","",I580/TpM)</f>
        <v/>
      </c>
      <c r="K580" s="69">
        <f>IF(H580="","",COUNTIFS($A$7:$A$1006,A580,$C$7:$C$1006,"&gt;0")-H580)</f>
        <v/>
      </c>
      <c r="L580" s="69">
        <f>IF(H580="","",A580&amp;"|"&amp;H580)</f>
        <v/>
      </c>
      <c r="M580" s="69">
        <f>IF(A580="","",IFERROR(INDEX(Bestand!$AC$14:$AC$213,MATCH(A580,Bestand!$A$14:$A$213,0)),0))</f>
        <v/>
      </c>
      <c r="N580" s="69">
        <f>IF(OR(H580="",M580&lt;&gt;1),"",C580+ROW()/100000)</f>
        <v/>
      </c>
    </row>
    <row r="581" ht="20" customHeight="1">
      <c r="A581" s="60" t="n"/>
      <c r="B581" s="65">
        <f>IF(A581="","",IFERROR(INDEX(Bestand!$B$14:$B$213,MATCH(A581,Bestand!$A$14:$A$213,0)),"ID unbekannt"))</f>
        <v/>
      </c>
      <c r="C581" s="63" t="n"/>
      <c r="D581" s="62" t="n"/>
      <c r="E581" s="60" t="n"/>
      <c r="F581" s="60" t="n"/>
      <c r="G581" s="61" t="n"/>
      <c r="H581" s="69">
        <f>IF(OR(A581="",C581=""),"",COUNTIFS($A$7:$A$1006,A581,$C$7:$C$1006,"&lt;"&amp;C581)+1)</f>
        <v/>
      </c>
      <c r="I581" s="67">
        <f>IF(H581="","",IF(H581=1,"",C581-_xlfn.MAXIFS($C$7:$C$1006,$A$7:$A$1006,A581,$C$7:$C$1006,"&lt;"&amp;C581)))</f>
        <v/>
      </c>
      <c r="J581" s="68">
        <f>IF(I581="","",I581/TpM)</f>
        <v/>
      </c>
      <c r="K581" s="69">
        <f>IF(H581="","",COUNTIFS($A$7:$A$1006,A581,$C$7:$C$1006,"&gt;0")-H581)</f>
        <v/>
      </c>
      <c r="L581" s="69">
        <f>IF(H581="","",A581&amp;"|"&amp;H581)</f>
        <v/>
      </c>
      <c r="M581" s="69">
        <f>IF(A581="","",IFERROR(INDEX(Bestand!$AC$14:$AC$213,MATCH(A581,Bestand!$A$14:$A$213,0)),0))</f>
        <v/>
      </c>
      <c r="N581" s="69">
        <f>IF(OR(H581="",M581&lt;&gt;1),"",C581+ROW()/100000)</f>
        <v/>
      </c>
    </row>
    <row r="582" ht="20" customHeight="1">
      <c r="A582" s="60" t="n"/>
      <c r="B582" s="65">
        <f>IF(A582="","",IFERROR(INDEX(Bestand!$B$14:$B$213,MATCH(A582,Bestand!$A$14:$A$213,0)),"ID unbekannt"))</f>
        <v/>
      </c>
      <c r="C582" s="63" t="n"/>
      <c r="D582" s="62" t="n"/>
      <c r="E582" s="60" t="n"/>
      <c r="F582" s="60" t="n"/>
      <c r="G582" s="61" t="n"/>
      <c r="H582" s="69">
        <f>IF(OR(A582="",C582=""),"",COUNTIFS($A$7:$A$1006,A582,$C$7:$C$1006,"&lt;"&amp;C582)+1)</f>
        <v/>
      </c>
      <c r="I582" s="67">
        <f>IF(H582="","",IF(H582=1,"",C582-_xlfn.MAXIFS($C$7:$C$1006,$A$7:$A$1006,A582,$C$7:$C$1006,"&lt;"&amp;C582)))</f>
        <v/>
      </c>
      <c r="J582" s="68">
        <f>IF(I582="","",I582/TpM)</f>
        <v/>
      </c>
      <c r="K582" s="69">
        <f>IF(H582="","",COUNTIFS($A$7:$A$1006,A582,$C$7:$C$1006,"&gt;0")-H582)</f>
        <v/>
      </c>
      <c r="L582" s="69">
        <f>IF(H582="","",A582&amp;"|"&amp;H582)</f>
        <v/>
      </c>
      <c r="M582" s="69">
        <f>IF(A582="","",IFERROR(INDEX(Bestand!$AC$14:$AC$213,MATCH(A582,Bestand!$A$14:$A$213,0)),0))</f>
        <v/>
      </c>
      <c r="N582" s="69">
        <f>IF(OR(H582="",M582&lt;&gt;1),"",C582+ROW()/100000)</f>
        <v/>
      </c>
    </row>
    <row r="583" ht="20" customHeight="1">
      <c r="A583" s="60" t="n"/>
      <c r="B583" s="65">
        <f>IF(A583="","",IFERROR(INDEX(Bestand!$B$14:$B$213,MATCH(A583,Bestand!$A$14:$A$213,0)),"ID unbekannt"))</f>
        <v/>
      </c>
      <c r="C583" s="63" t="n"/>
      <c r="D583" s="62" t="n"/>
      <c r="E583" s="60" t="n"/>
      <c r="F583" s="60" t="n"/>
      <c r="G583" s="61" t="n"/>
      <c r="H583" s="69">
        <f>IF(OR(A583="",C583=""),"",COUNTIFS($A$7:$A$1006,A583,$C$7:$C$1006,"&lt;"&amp;C583)+1)</f>
        <v/>
      </c>
      <c r="I583" s="67">
        <f>IF(H583="","",IF(H583=1,"",C583-_xlfn.MAXIFS($C$7:$C$1006,$A$7:$A$1006,A583,$C$7:$C$1006,"&lt;"&amp;C583)))</f>
        <v/>
      </c>
      <c r="J583" s="68">
        <f>IF(I583="","",I583/TpM)</f>
        <v/>
      </c>
      <c r="K583" s="69">
        <f>IF(H583="","",COUNTIFS($A$7:$A$1006,A583,$C$7:$C$1006,"&gt;0")-H583)</f>
        <v/>
      </c>
      <c r="L583" s="69">
        <f>IF(H583="","",A583&amp;"|"&amp;H583)</f>
        <v/>
      </c>
      <c r="M583" s="69">
        <f>IF(A583="","",IFERROR(INDEX(Bestand!$AC$14:$AC$213,MATCH(A583,Bestand!$A$14:$A$213,0)),0))</f>
        <v/>
      </c>
      <c r="N583" s="69">
        <f>IF(OR(H583="",M583&lt;&gt;1),"",C583+ROW()/100000)</f>
        <v/>
      </c>
    </row>
    <row r="584" ht="20" customHeight="1">
      <c r="A584" s="60" t="n"/>
      <c r="B584" s="65">
        <f>IF(A584="","",IFERROR(INDEX(Bestand!$B$14:$B$213,MATCH(A584,Bestand!$A$14:$A$213,0)),"ID unbekannt"))</f>
        <v/>
      </c>
      <c r="C584" s="63" t="n"/>
      <c r="D584" s="62" t="n"/>
      <c r="E584" s="60" t="n"/>
      <c r="F584" s="60" t="n"/>
      <c r="G584" s="61" t="n"/>
      <c r="H584" s="69">
        <f>IF(OR(A584="",C584=""),"",COUNTIFS($A$7:$A$1006,A584,$C$7:$C$1006,"&lt;"&amp;C584)+1)</f>
        <v/>
      </c>
      <c r="I584" s="67">
        <f>IF(H584="","",IF(H584=1,"",C584-_xlfn.MAXIFS($C$7:$C$1006,$A$7:$A$1006,A584,$C$7:$C$1006,"&lt;"&amp;C584)))</f>
        <v/>
      </c>
      <c r="J584" s="68">
        <f>IF(I584="","",I584/TpM)</f>
        <v/>
      </c>
      <c r="K584" s="69">
        <f>IF(H584="","",COUNTIFS($A$7:$A$1006,A584,$C$7:$C$1006,"&gt;0")-H584)</f>
        <v/>
      </c>
      <c r="L584" s="69">
        <f>IF(H584="","",A584&amp;"|"&amp;H584)</f>
        <v/>
      </c>
      <c r="M584" s="69">
        <f>IF(A584="","",IFERROR(INDEX(Bestand!$AC$14:$AC$213,MATCH(A584,Bestand!$A$14:$A$213,0)),0))</f>
        <v/>
      </c>
      <c r="N584" s="69">
        <f>IF(OR(H584="",M584&lt;&gt;1),"",C584+ROW()/100000)</f>
        <v/>
      </c>
    </row>
    <row r="585" ht="20" customHeight="1">
      <c r="A585" s="60" t="n"/>
      <c r="B585" s="65">
        <f>IF(A585="","",IFERROR(INDEX(Bestand!$B$14:$B$213,MATCH(A585,Bestand!$A$14:$A$213,0)),"ID unbekannt"))</f>
        <v/>
      </c>
      <c r="C585" s="63" t="n"/>
      <c r="D585" s="62" t="n"/>
      <c r="E585" s="60" t="n"/>
      <c r="F585" s="60" t="n"/>
      <c r="G585" s="61" t="n"/>
      <c r="H585" s="69">
        <f>IF(OR(A585="",C585=""),"",COUNTIFS($A$7:$A$1006,A585,$C$7:$C$1006,"&lt;"&amp;C585)+1)</f>
        <v/>
      </c>
      <c r="I585" s="67">
        <f>IF(H585="","",IF(H585=1,"",C585-_xlfn.MAXIFS($C$7:$C$1006,$A$7:$A$1006,A585,$C$7:$C$1006,"&lt;"&amp;C585)))</f>
        <v/>
      </c>
      <c r="J585" s="68">
        <f>IF(I585="","",I585/TpM)</f>
        <v/>
      </c>
      <c r="K585" s="69">
        <f>IF(H585="","",COUNTIFS($A$7:$A$1006,A585,$C$7:$C$1006,"&gt;0")-H585)</f>
        <v/>
      </c>
      <c r="L585" s="69">
        <f>IF(H585="","",A585&amp;"|"&amp;H585)</f>
        <v/>
      </c>
      <c r="M585" s="69">
        <f>IF(A585="","",IFERROR(INDEX(Bestand!$AC$14:$AC$213,MATCH(A585,Bestand!$A$14:$A$213,0)),0))</f>
        <v/>
      </c>
      <c r="N585" s="69">
        <f>IF(OR(H585="",M585&lt;&gt;1),"",C585+ROW()/100000)</f>
        <v/>
      </c>
    </row>
    <row r="586" ht="20" customHeight="1">
      <c r="A586" s="60" t="n"/>
      <c r="B586" s="65">
        <f>IF(A586="","",IFERROR(INDEX(Bestand!$B$14:$B$213,MATCH(A586,Bestand!$A$14:$A$213,0)),"ID unbekannt"))</f>
        <v/>
      </c>
      <c r="C586" s="63" t="n"/>
      <c r="D586" s="62" t="n"/>
      <c r="E586" s="60" t="n"/>
      <c r="F586" s="60" t="n"/>
      <c r="G586" s="61" t="n"/>
      <c r="H586" s="69">
        <f>IF(OR(A586="",C586=""),"",COUNTIFS($A$7:$A$1006,A586,$C$7:$C$1006,"&lt;"&amp;C586)+1)</f>
        <v/>
      </c>
      <c r="I586" s="67">
        <f>IF(H586="","",IF(H586=1,"",C586-_xlfn.MAXIFS($C$7:$C$1006,$A$7:$A$1006,A586,$C$7:$C$1006,"&lt;"&amp;C586)))</f>
        <v/>
      </c>
      <c r="J586" s="68">
        <f>IF(I586="","",I586/TpM)</f>
        <v/>
      </c>
      <c r="K586" s="69">
        <f>IF(H586="","",COUNTIFS($A$7:$A$1006,A586,$C$7:$C$1006,"&gt;0")-H586)</f>
        <v/>
      </c>
      <c r="L586" s="69">
        <f>IF(H586="","",A586&amp;"|"&amp;H586)</f>
        <v/>
      </c>
      <c r="M586" s="69">
        <f>IF(A586="","",IFERROR(INDEX(Bestand!$AC$14:$AC$213,MATCH(A586,Bestand!$A$14:$A$213,0)),0))</f>
        <v/>
      </c>
      <c r="N586" s="69">
        <f>IF(OR(H586="",M586&lt;&gt;1),"",C586+ROW()/100000)</f>
        <v/>
      </c>
    </row>
    <row r="587" ht="20" customHeight="1">
      <c r="A587" s="60" t="n"/>
      <c r="B587" s="65">
        <f>IF(A587="","",IFERROR(INDEX(Bestand!$B$14:$B$213,MATCH(A587,Bestand!$A$14:$A$213,0)),"ID unbekannt"))</f>
        <v/>
      </c>
      <c r="C587" s="63" t="n"/>
      <c r="D587" s="62" t="n"/>
      <c r="E587" s="60" t="n"/>
      <c r="F587" s="60" t="n"/>
      <c r="G587" s="61" t="n"/>
      <c r="H587" s="69">
        <f>IF(OR(A587="",C587=""),"",COUNTIFS($A$7:$A$1006,A587,$C$7:$C$1006,"&lt;"&amp;C587)+1)</f>
        <v/>
      </c>
      <c r="I587" s="67">
        <f>IF(H587="","",IF(H587=1,"",C587-_xlfn.MAXIFS($C$7:$C$1006,$A$7:$A$1006,A587,$C$7:$C$1006,"&lt;"&amp;C587)))</f>
        <v/>
      </c>
      <c r="J587" s="68">
        <f>IF(I587="","",I587/TpM)</f>
        <v/>
      </c>
      <c r="K587" s="69">
        <f>IF(H587="","",COUNTIFS($A$7:$A$1006,A587,$C$7:$C$1006,"&gt;0")-H587)</f>
        <v/>
      </c>
      <c r="L587" s="69">
        <f>IF(H587="","",A587&amp;"|"&amp;H587)</f>
        <v/>
      </c>
      <c r="M587" s="69">
        <f>IF(A587="","",IFERROR(INDEX(Bestand!$AC$14:$AC$213,MATCH(A587,Bestand!$A$14:$A$213,0)),0))</f>
        <v/>
      </c>
      <c r="N587" s="69">
        <f>IF(OR(H587="",M587&lt;&gt;1),"",C587+ROW()/100000)</f>
        <v/>
      </c>
    </row>
    <row r="588" ht="20" customHeight="1">
      <c r="A588" s="60" t="n"/>
      <c r="B588" s="65">
        <f>IF(A588="","",IFERROR(INDEX(Bestand!$B$14:$B$213,MATCH(A588,Bestand!$A$14:$A$213,0)),"ID unbekannt"))</f>
        <v/>
      </c>
      <c r="C588" s="63" t="n"/>
      <c r="D588" s="62" t="n"/>
      <c r="E588" s="60" t="n"/>
      <c r="F588" s="60" t="n"/>
      <c r="G588" s="61" t="n"/>
      <c r="H588" s="69">
        <f>IF(OR(A588="",C588=""),"",COUNTIFS($A$7:$A$1006,A588,$C$7:$C$1006,"&lt;"&amp;C588)+1)</f>
        <v/>
      </c>
      <c r="I588" s="67">
        <f>IF(H588="","",IF(H588=1,"",C588-_xlfn.MAXIFS($C$7:$C$1006,$A$7:$A$1006,A588,$C$7:$C$1006,"&lt;"&amp;C588)))</f>
        <v/>
      </c>
      <c r="J588" s="68">
        <f>IF(I588="","",I588/TpM)</f>
        <v/>
      </c>
      <c r="K588" s="69">
        <f>IF(H588="","",COUNTIFS($A$7:$A$1006,A588,$C$7:$C$1006,"&gt;0")-H588)</f>
        <v/>
      </c>
      <c r="L588" s="69">
        <f>IF(H588="","",A588&amp;"|"&amp;H588)</f>
        <v/>
      </c>
      <c r="M588" s="69">
        <f>IF(A588="","",IFERROR(INDEX(Bestand!$AC$14:$AC$213,MATCH(A588,Bestand!$A$14:$A$213,0)),0))</f>
        <v/>
      </c>
      <c r="N588" s="69">
        <f>IF(OR(H588="",M588&lt;&gt;1),"",C588+ROW()/100000)</f>
        <v/>
      </c>
    </row>
    <row r="589" ht="20" customHeight="1">
      <c r="A589" s="60" t="n"/>
      <c r="B589" s="65">
        <f>IF(A589="","",IFERROR(INDEX(Bestand!$B$14:$B$213,MATCH(A589,Bestand!$A$14:$A$213,0)),"ID unbekannt"))</f>
        <v/>
      </c>
      <c r="C589" s="63" t="n"/>
      <c r="D589" s="62" t="n"/>
      <c r="E589" s="60" t="n"/>
      <c r="F589" s="60" t="n"/>
      <c r="G589" s="61" t="n"/>
      <c r="H589" s="69">
        <f>IF(OR(A589="",C589=""),"",COUNTIFS($A$7:$A$1006,A589,$C$7:$C$1006,"&lt;"&amp;C589)+1)</f>
        <v/>
      </c>
      <c r="I589" s="67">
        <f>IF(H589="","",IF(H589=1,"",C589-_xlfn.MAXIFS($C$7:$C$1006,$A$7:$A$1006,A589,$C$7:$C$1006,"&lt;"&amp;C589)))</f>
        <v/>
      </c>
      <c r="J589" s="68">
        <f>IF(I589="","",I589/TpM)</f>
        <v/>
      </c>
      <c r="K589" s="69">
        <f>IF(H589="","",COUNTIFS($A$7:$A$1006,A589,$C$7:$C$1006,"&gt;0")-H589)</f>
        <v/>
      </c>
      <c r="L589" s="69">
        <f>IF(H589="","",A589&amp;"|"&amp;H589)</f>
        <v/>
      </c>
      <c r="M589" s="69">
        <f>IF(A589="","",IFERROR(INDEX(Bestand!$AC$14:$AC$213,MATCH(A589,Bestand!$A$14:$A$213,0)),0))</f>
        <v/>
      </c>
      <c r="N589" s="69">
        <f>IF(OR(H589="",M589&lt;&gt;1),"",C589+ROW()/100000)</f>
        <v/>
      </c>
    </row>
    <row r="590" ht="20" customHeight="1">
      <c r="A590" s="60" t="n"/>
      <c r="B590" s="65">
        <f>IF(A590="","",IFERROR(INDEX(Bestand!$B$14:$B$213,MATCH(A590,Bestand!$A$14:$A$213,0)),"ID unbekannt"))</f>
        <v/>
      </c>
      <c r="C590" s="63" t="n"/>
      <c r="D590" s="62" t="n"/>
      <c r="E590" s="60" t="n"/>
      <c r="F590" s="60" t="n"/>
      <c r="G590" s="61" t="n"/>
      <c r="H590" s="69">
        <f>IF(OR(A590="",C590=""),"",COUNTIFS($A$7:$A$1006,A590,$C$7:$C$1006,"&lt;"&amp;C590)+1)</f>
        <v/>
      </c>
      <c r="I590" s="67">
        <f>IF(H590="","",IF(H590=1,"",C590-_xlfn.MAXIFS($C$7:$C$1006,$A$7:$A$1006,A590,$C$7:$C$1006,"&lt;"&amp;C590)))</f>
        <v/>
      </c>
      <c r="J590" s="68">
        <f>IF(I590="","",I590/TpM)</f>
        <v/>
      </c>
      <c r="K590" s="69">
        <f>IF(H590="","",COUNTIFS($A$7:$A$1006,A590,$C$7:$C$1006,"&gt;0")-H590)</f>
        <v/>
      </c>
      <c r="L590" s="69">
        <f>IF(H590="","",A590&amp;"|"&amp;H590)</f>
        <v/>
      </c>
      <c r="M590" s="69">
        <f>IF(A590="","",IFERROR(INDEX(Bestand!$AC$14:$AC$213,MATCH(A590,Bestand!$A$14:$A$213,0)),0))</f>
        <v/>
      </c>
      <c r="N590" s="69">
        <f>IF(OR(H590="",M590&lt;&gt;1),"",C590+ROW()/100000)</f>
        <v/>
      </c>
    </row>
    <row r="591" ht="20" customHeight="1">
      <c r="A591" s="60" t="n"/>
      <c r="B591" s="65">
        <f>IF(A591="","",IFERROR(INDEX(Bestand!$B$14:$B$213,MATCH(A591,Bestand!$A$14:$A$213,0)),"ID unbekannt"))</f>
        <v/>
      </c>
      <c r="C591" s="63" t="n"/>
      <c r="D591" s="62" t="n"/>
      <c r="E591" s="60" t="n"/>
      <c r="F591" s="60" t="n"/>
      <c r="G591" s="61" t="n"/>
      <c r="H591" s="69">
        <f>IF(OR(A591="",C591=""),"",COUNTIFS($A$7:$A$1006,A591,$C$7:$C$1006,"&lt;"&amp;C591)+1)</f>
        <v/>
      </c>
      <c r="I591" s="67">
        <f>IF(H591="","",IF(H591=1,"",C591-_xlfn.MAXIFS($C$7:$C$1006,$A$7:$A$1006,A591,$C$7:$C$1006,"&lt;"&amp;C591)))</f>
        <v/>
      </c>
      <c r="J591" s="68">
        <f>IF(I591="","",I591/TpM)</f>
        <v/>
      </c>
      <c r="K591" s="69">
        <f>IF(H591="","",COUNTIFS($A$7:$A$1006,A591,$C$7:$C$1006,"&gt;0")-H591)</f>
        <v/>
      </c>
      <c r="L591" s="69">
        <f>IF(H591="","",A591&amp;"|"&amp;H591)</f>
        <v/>
      </c>
      <c r="M591" s="69">
        <f>IF(A591="","",IFERROR(INDEX(Bestand!$AC$14:$AC$213,MATCH(A591,Bestand!$A$14:$A$213,0)),0))</f>
        <v/>
      </c>
      <c r="N591" s="69">
        <f>IF(OR(H591="",M591&lt;&gt;1),"",C591+ROW()/100000)</f>
        <v/>
      </c>
    </row>
    <row r="592" ht="20" customHeight="1">
      <c r="A592" s="60" t="n"/>
      <c r="B592" s="65">
        <f>IF(A592="","",IFERROR(INDEX(Bestand!$B$14:$B$213,MATCH(A592,Bestand!$A$14:$A$213,0)),"ID unbekannt"))</f>
        <v/>
      </c>
      <c r="C592" s="63" t="n"/>
      <c r="D592" s="62" t="n"/>
      <c r="E592" s="60" t="n"/>
      <c r="F592" s="60" t="n"/>
      <c r="G592" s="61" t="n"/>
      <c r="H592" s="69">
        <f>IF(OR(A592="",C592=""),"",COUNTIFS($A$7:$A$1006,A592,$C$7:$C$1006,"&lt;"&amp;C592)+1)</f>
        <v/>
      </c>
      <c r="I592" s="67">
        <f>IF(H592="","",IF(H592=1,"",C592-_xlfn.MAXIFS($C$7:$C$1006,$A$7:$A$1006,A592,$C$7:$C$1006,"&lt;"&amp;C592)))</f>
        <v/>
      </c>
      <c r="J592" s="68">
        <f>IF(I592="","",I592/TpM)</f>
        <v/>
      </c>
      <c r="K592" s="69">
        <f>IF(H592="","",COUNTIFS($A$7:$A$1006,A592,$C$7:$C$1006,"&gt;0")-H592)</f>
        <v/>
      </c>
      <c r="L592" s="69">
        <f>IF(H592="","",A592&amp;"|"&amp;H592)</f>
        <v/>
      </c>
      <c r="M592" s="69">
        <f>IF(A592="","",IFERROR(INDEX(Bestand!$AC$14:$AC$213,MATCH(A592,Bestand!$A$14:$A$213,0)),0))</f>
        <v/>
      </c>
      <c r="N592" s="69">
        <f>IF(OR(H592="",M592&lt;&gt;1),"",C592+ROW()/100000)</f>
        <v/>
      </c>
    </row>
    <row r="593" ht="20" customHeight="1">
      <c r="A593" s="60" t="n"/>
      <c r="B593" s="65">
        <f>IF(A593="","",IFERROR(INDEX(Bestand!$B$14:$B$213,MATCH(A593,Bestand!$A$14:$A$213,0)),"ID unbekannt"))</f>
        <v/>
      </c>
      <c r="C593" s="63" t="n"/>
      <c r="D593" s="62" t="n"/>
      <c r="E593" s="60" t="n"/>
      <c r="F593" s="60" t="n"/>
      <c r="G593" s="61" t="n"/>
      <c r="H593" s="69">
        <f>IF(OR(A593="",C593=""),"",COUNTIFS($A$7:$A$1006,A593,$C$7:$C$1006,"&lt;"&amp;C593)+1)</f>
        <v/>
      </c>
      <c r="I593" s="67">
        <f>IF(H593="","",IF(H593=1,"",C593-_xlfn.MAXIFS($C$7:$C$1006,$A$7:$A$1006,A593,$C$7:$C$1006,"&lt;"&amp;C593)))</f>
        <v/>
      </c>
      <c r="J593" s="68">
        <f>IF(I593="","",I593/TpM)</f>
        <v/>
      </c>
      <c r="K593" s="69">
        <f>IF(H593="","",COUNTIFS($A$7:$A$1006,A593,$C$7:$C$1006,"&gt;0")-H593)</f>
        <v/>
      </c>
      <c r="L593" s="69">
        <f>IF(H593="","",A593&amp;"|"&amp;H593)</f>
        <v/>
      </c>
      <c r="M593" s="69">
        <f>IF(A593="","",IFERROR(INDEX(Bestand!$AC$14:$AC$213,MATCH(A593,Bestand!$A$14:$A$213,0)),0))</f>
        <v/>
      </c>
      <c r="N593" s="69">
        <f>IF(OR(H593="",M593&lt;&gt;1),"",C593+ROW()/100000)</f>
        <v/>
      </c>
    </row>
    <row r="594" ht="20" customHeight="1">
      <c r="A594" s="60" t="n"/>
      <c r="B594" s="65">
        <f>IF(A594="","",IFERROR(INDEX(Bestand!$B$14:$B$213,MATCH(A594,Bestand!$A$14:$A$213,0)),"ID unbekannt"))</f>
        <v/>
      </c>
      <c r="C594" s="63" t="n"/>
      <c r="D594" s="62" t="n"/>
      <c r="E594" s="60" t="n"/>
      <c r="F594" s="60" t="n"/>
      <c r="G594" s="61" t="n"/>
      <c r="H594" s="69">
        <f>IF(OR(A594="",C594=""),"",COUNTIFS($A$7:$A$1006,A594,$C$7:$C$1006,"&lt;"&amp;C594)+1)</f>
        <v/>
      </c>
      <c r="I594" s="67">
        <f>IF(H594="","",IF(H594=1,"",C594-_xlfn.MAXIFS($C$7:$C$1006,$A$7:$A$1006,A594,$C$7:$C$1006,"&lt;"&amp;C594)))</f>
        <v/>
      </c>
      <c r="J594" s="68">
        <f>IF(I594="","",I594/TpM)</f>
        <v/>
      </c>
      <c r="K594" s="69">
        <f>IF(H594="","",COUNTIFS($A$7:$A$1006,A594,$C$7:$C$1006,"&gt;0")-H594)</f>
        <v/>
      </c>
      <c r="L594" s="69">
        <f>IF(H594="","",A594&amp;"|"&amp;H594)</f>
        <v/>
      </c>
      <c r="M594" s="69">
        <f>IF(A594="","",IFERROR(INDEX(Bestand!$AC$14:$AC$213,MATCH(A594,Bestand!$A$14:$A$213,0)),0))</f>
        <v/>
      </c>
      <c r="N594" s="69">
        <f>IF(OR(H594="",M594&lt;&gt;1),"",C594+ROW()/100000)</f>
        <v/>
      </c>
    </row>
    <row r="595" ht="20" customHeight="1">
      <c r="A595" s="60" t="n"/>
      <c r="B595" s="65">
        <f>IF(A595="","",IFERROR(INDEX(Bestand!$B$14:$B$213,MATCH(A595,Bestand!$A$14:$A$213,0)),"ID unbekannt"))</f>
        <v/>
      </c>
      <c r="C595" s="63" t="n"/>
      <c r="D595" s="62" t="n"/>
      <c r="E595" s="60" t="n"/>
      <c r="F595" s="60" t="n"/>
      <c r="G595" s="61" t="n"/>
      <c r="H595" s="69">
        <f>IF(OR(A595="",C595=""),"",COUNTIFS($A$7:$A$1006,A595,$C$7:$C$1006,"&lt;"&amp;C595)+1)</f>
        <v/>
      </c>
      <c r="I595" s="67">
        <f>IF(H595="","",IF(H595=1,"",C595-_xlfn.MAXIFS($C$7:$C$1006,$A$7:$A$1006,A595,$C$7:$C$1006,"&lt;"&amp;C595)))</f>
        <v/>
      </c>
      <c r="J595" s="68">
        <f>IF(I595="","",I595/TpM)</f>
        <v/>
      </c>
      <c r="K595" s="69">
        <f>IF(H595="","",COUNTIFS($A$7:$A$1006,A595,$C$7:$C$1006,"&gt;0")-H595)</f>
        <v/>
      </c>
      <c r="L595" s="69">
        <f>IF(H595="","",A595&amp;"|"&amp;H595)</f>
        <v/>
      </c>
      <c r="M595" s="69">
        <f>IF(A595="","",IFERROR(INDEX(Bestand!$AC$14:$AC$213,MATCH(A595,Bestand!$A$14:$A$213,0)),0))</f>
        <v/>
      </c>
      <c r="N595" s="69">
        <f>IF(OR(H595="",M595&lt;&gt;1),"",C595+ROW()/100000)</f>
        <v/>
      </c>
    </row>
    <row r="596" ht="20" customHeight="1">
      <c r="A596" s="60" t="n"/>
      <c r="B596" s="65">
        <f>IF(A596="","",IFERROR(INDEX(Bestand!$B$14:$B$213,MATCH(A596,Bestand!$A$14:$A$213,0)),"ID unbekannt"))</f>
        <v/>
      </c>
      <c r="C596" s="63" t="n"/>
      <c r="D596" s="62" t="n"/>
      <c r="E596" s="60" t="n"/>
      <c r="F596" s="60" t="n"/>
      <c r="G596" s="61" t="n"/>
      <c r="H596" s="69">
        <f>IF(OR(A596="",C596=""),"",COUNTIFS($A$7:$A$1006,A596,$C$7:$C$1006,"&lt;"&amp;C596)+1)</f>
        <v/>
      </c>
      <c r="I596" s="67">
        <f>IF(H596="","",IF(H596=1,"",C596-_xlfn.MAXIFS($C$7:$C$1006,$A$7:$A$1006,A596,$C$7:$C$1006,"&lt;"&amp;C596)))</f>
        <v/>
      </c>
      <c r="J596" s="68">
        <f>IF(I596="","",I596/TpM)</f>
        <v/>
      </c>
      <c r="K596" s="69">
        <f>IF(H596="","",COUNTIFS($A$7:$A$1006,A596,$C$7:$C$1006,"&gt;0")-H596)</f>
        <v/>
      </c>
      <c r="L596" s="69">
        <f>IF(H596="","",A596&amp;"|"&amp;H596)</f>
        <v/>
      </c>
      <c r="M596" s="69">
        <f>IF(A596="","",IFERROR(INDEX(Bestand!$AC$14:$AC$213,MATCH(A596,Bestand!$A$14:$A$213,0)),0))</f>
        <v/>
      </c>
      <c r="N596" s="69">
        <f>IF(OR(H596="",M596&lt;&gt;1),"",C596+ROW()/100000)</f>
        <v/>
      </c>
    </row>
    <row r="597" ht="20" customHeight="1">
      <c r="A597" s="60" t="n"/>
      <c r="B597" s="65">
        <f>IF(A597="","",IFERROR(INDEX(Bestand!$B$14:$B$213,MATCH(A597,Bestand!$A$14:$A$213,0)),"ID unbekannt"))</f>
        <v/>
      </c>
      <c r="C597" s="63" t="n"/>
      <c r="D597" s="62" t="n"/>
      <c r="E597" s="60" t="n"/>
      <c r="F597" s="60" t="n"/>
      <c r="G597" s="61" t="n"/>
      <c r="H597" s="69">
        <f>IF(OR(A597="",C597=""),"",COUNTIFS($A$7:$A$1006,A597,$C$7:$C$1006,"&lt;"&amp;C597)+1)</f>
        <v/>
      </c>
      <c r="I597" s="67">
        <f>IF(H597="","",IF(H597=1,"",C597-_xlfn.MAXIFS($C$7:$C$1006,$A$7:$A$1006,A597,$C$7:$C$1006,"&lt;"&amp;C597)))</f>
        <v/>
      </c>
      <c r="J597" s="68">
        <f>IF(I597="","",I597/TpM)</f>
        <v/>
      </c>
      <c r="K597" s="69">
        <f>IF(H597="","",COUNTIFS($A$7:$A$1006,A597,$C$7:$C$1006,"&gt;0")-H597)</f>
        <v/>
      </c>
      <c r="L597" s="69">
        <f>IF(H597="","",A597&amp;"|"&amp;H597)</f>
        <v/>
      </c>
      <c r="M597" s="69">
        <f>IF(A597="","",IFERROR(INDEX(Bestand!$AC$14:$AC$213,MATCH(A597,Bestand!$A$14:$A$213,0)),0))</f>
        <v/>
      </c>
      <c r="N597" s="69">
        <f>IF(OR(H597="",M597&lt;&gt;1),"",C597+ROW()/100000)</f>
        <v/>
      </c>
    </row>
    <row r="598" ht="20" customHeight="1">
      <c r="A598" s="60" t="n"/>
      <c r="B598" s="65">
        <f>IF(A598="","",IFERROR(INDEX(Bestand!$B$14:$B$213,MATCH(A598,Bestand!$A$14:$A$213,0)),"ID unbekannt"))</f>
        <v/>
      </c>
      <c r="C598" s="63" t="n"/>
      <c r="D598" s="62" t="n"/>
      <c r="E598" s="60" t="n"/>
      <c r="F598" s="60" t="n"/>
      <c r="G598" s="61" t="n"/>
      <c r="H598" s="69">
        <f>IF(OR(A598="",C598=""),"",COUNTIFS($A$7:$A$1006,A598,$C$7:$C$1006,"&lt;"&amp;C598)+1)</f>
        <v/>
      </c>
      <c r="I598" s="67">
        <f>IF(H598="","",IF(H598=1,"",C598-_xlfn.MAXIFS($C$7:$C$1006,$A$7:$A$1006,A598,$C$7:$C$1006,"&lt;"&amp;C598)))</f>
        <v/>
      </c>
      <c r="J598" s="68">
        <f>IF(I598="","",I598/TpM)</f>
        <v/>
      </c>
      <c r="K598" s="69">
        <f>IF(H598="","",COUNTIFS($A$7:$A$1006,A598,$C$7:$C$1006,"&gt;0")-H598)</f>
        <v/>
      </c>
      <c r="L598" s="69">
        <f>IF(H598="","",A598&amp;"|"&amp;H598)</f>
        <v/>
      </c>
      <c r="M598" s="69">
        <f>IF(A598="","",IFERROR(INDEX(Bestand!$AC$14:$AC$213,MATCH(A598,Bestand!$A$14:$A$213,0)),0))</f>
        <v/>
      </c>
      <c r="N598" s="69">
        <f>IF(OR(H598="",M598&lt;&gt;1),"",C598+ROW()/100000)</f>
        <v/>
      </c>
    </row>
    <row r="599" ht="20" customHeight="1">
      <c r="A599" s="60" t="n"/>
      <c r="B599" s="65">
        <f>IF(A599="","",IFERROR(INDEX(Bestand!$B$14:$B$213,MATCH(A599,Bestand!$A$14:$A$213,0)),"ID unbekannt"))</f>
        <v/>
      </c>
      <c r="C599" s="63" t="n"/>
      <c r="D599" s="62" t="n"/>
      <c r="E599" s="60" t="n"/>
      <c r="F599" s="60" t="n"/>
      <c r="G599" s="61" t="n"/>
      <c r="H599" s="69">
        <f>IF(OR(A599="",C599=""),"",COUNTIFS($A$7:$A$1006,A599,$C$7:$C$1006,"&lt;"&amp;C599)+1)</f>
        <v/>
      </c>
      <c r="I599" s="67">
        <f>IF(H599="","",IF(H599=1,"",C599-_xlfn.MAXIFS($C$7:$C$1006,$A$7:$A$1006,A599,$C$7:$C$1006,"&lt;"&amp;C599)))</f>
        <v/>
      </c>
      <c r="J599" s="68">
        <f>IF(I599="","",I599/TpM)</f>
        <v/>
      </c>
      <c r="K599" s="69">
        <f>IF(H599="","",COUNTIFS($A$7:$A$1006,A599,$C$7:$C$1006,"&gt;0")-H599)</f>
        <v/>
      </c>
      <c r="L599" s="69">
        <f>IF(H599="","",A599&amp;"|"&amp;H599)</f>
        <v/>
      </c>
      <c r="M599" s="69">
        <f>IF(A599="","",IFERROR(INDEX(Bestand!$AC$14:$AC$213,MATCH(A599,Bestand!$A$14:$A$213,0)),0))</f>
        <v/>
      </c>
      <c r="N599" s="69">
        <f>IF(OR(H599="",M599&lt;&gt;1),"",C599+ROW()/100000)</f>
        <v/>
      </c>
    </row>
    <row r="600" ht="20" customHeight="1">
      <c r="A600" s="60" t="n"/>
      <c r="B600" s="65">
        <f>IF(A600="","",IFERROR(INDEX(Bestand!$B$14:$B$213,MATCH(A600,Bestand!$A$14:$A$213,0)),"ID unbekannt"))</f>
        <v/>
      </c>
      <c r="C600" s="63" t="n"/>
      <c r="D600" s="62" t="n"/>
      <c r="E600" s="60" t="n"/>
      <c r="F600" s="60" t="n"/>
      <c r="G600" s="61" t="n"/>
      <c r="H600" s="69">
        <f>IF(OR(A600="",C600=""),"",COUNTIFS($A$7:$A$1006,A600,$C$7:$C$1006,"&lt;"&amp;C600)+1)</f>
        <v/>
      </c>
      <c r="I600" s="67">
        <f>IF(H600="","",IF(H600=1,"",C600-_xlfn.MAXIFS($C$7:$C$1006,$A$7:$A$1006,A600,$C$7:$C$1006,"&lt;"&amp;C600)))</f>
        <v/>
      </c>
      <c r="J600" s="68">
        <f>IF(I600="","",I600/TpM)</f>
        <v/>
      </c>
      <c r="K600" s="69">
        <f>IF(H600="","",COUNTIFS($A$7:$A$1006,A600,$C$7:$C$1006,"&gt;0")-H600)</f>
        <v/>
      </c>
      <c r="L600" s="69">
        <f>IF(H600="","",A600&amp;"|"&amp;H600)</f>
        <v/>
      </c>
      <c r="M600" s="69">
        <f>IF(A600="","",IFERROR(INDEX(Bestand!$AC$14:$AC$213,MATCH(A600,Bestand!$A$14:$A$213,0)),0))</f>
        <v/>
      </c>
      <c r="N600" s="69">
        <f>IF(OR(H600="",M600&lt;&gt;1),"",C600+ROW()/100000)</f>
        <v/>
      </c>
    </row>
    <row r="601" ht="20" customHeight="1">
      <c r="A601" s="60" t="n"/>
      <c r="B601" s="65">
        <f>IF(A601="","",IFERROR(INDEX(Bestand!$B$14:$B$213,MATCH(A601,Bestand!$A$14:$A$213,0)),"ID unbekannt"))</f>
        <v/>
      </c>
      <c r="C601" s="63" t="n"/>
      <c r="D601" s="62" t="n"/>
      <c r="E601" s="60" t="n"/>
      <c r="F601" s="60" t="n"/>
      <c r="G601" s="61" t="n"/>
      <c r="H601" s="69">
        <f>IF(OR(A601="",C601=""),"",COUNTIFS($A$7:$A$1006,A601,$C$7:$C$1006,"&lt;"&amp;C601)+1)</f>
        <v/>
      </c>
      <c r="I601" s="67">
        <f>IF(H601="","",IF(H601=1,"",C601-_xlfn.MAXIFS($C$7:$C$1006,$A$7:$A$1006,A601,$C$7:$C$1006,"&lt;"&amp;C601)))</f>
        <v/>
      </c>
      <c r="J601" s="68">
        <f>IF(I601="","",I601/TpM)</f>
        <v/>
      </c>
      <c r="K601" s="69">
        <f>IF(H601="","",COUNTIFS($A$7:$A$1006,A601,$C$7:$C$1006,"&gt;0")-H601)</f>
        <v/>
      </c>
      <c r="L601" s="69">
        <f>IF(H601="","",A601&amp;"|"&amp;H601)</f>
        <v/>
      </c>
      <c r="M601" s="69">
        <f>IF(A601="","",IFERROR(INDEX(Bestand!$AC$14:$AC$213,MATCH(A601,Bestand!$A$14:$A$213,0)),0))</f>
        <v/>
      </c>
      <c r="N601" s="69">
        <f>IF(OR(H601="",M601&lt;&gt;1),"",C601+ROW()/100000)</f>
        <v/>
      </c>
    </row>
    <row r="602" ht="20" customHeight="1">
      <c r="A602" s="60" t="n"/>
      <c r="B602" s="65">
        <f>IF(A602="","",IFERROR(INDEX(Bestand!$B$14:$B$213,MATCH(A602,Bestand!$A$14:$A$213,0)),"ID unbekannt"))</f>
        <v/>
      </c>
      <c r="C602" s="63" t="n"/>
      <c r="D602" s="62" t="n"/>
      <c r="E602" s="60" t="n"/>
      <c r="F602" s="60" t="n"/>
      <c r="G602" s="61" t="n"/>
      <c r="H602" s="69">
        <f>IF(OR(A602="",C602=""),"",COUNTIFS($A$7:$A$1006,A602,$C$7:$C$1006,"&lt;"&amp;C602)+1)</f>
        <v/>
      </c>
      <c r="I602" s="67">
        <f>IF(H602="","",IF(H602=1,"",C602-_xlfn.MAXIFS($C$7:$C$1006,$A$7:$A$1006,A602,$C$7:$C$1006,"&lt;"&amp;C602)))</f>
        <v/>
      </c>
      <c r="J602" s="68">
        <f>IF(I602="","",I602/TpM)</f>
        <v/>
      </c>
      <c r="K602" s="69">
        <f>IF(H602="","",COUNTIFS($A$7:$A$1006,A602,$C$7:$C$1006,"&gt;0")-H602)</f>
        <v/>
      </c>
      <c r="L602" s="69">
        <f>IF(H602="","",A602&amp;"|"&amp;H602)</f>
        <v/>
      </c>
      <c r="M602" s="69">
        <f>IF(A602="","",IFERROR(INDEX(Bestand!$AC$14:$AC$213,MATCH(A602,Bestand!$A$14:$A$213,0)),0))</f>
        <v/>
      </c>
      <c r="N602" s="69">
        <f>IF(OR(H602="",M602&lt;&gt;1),"",C602+ROW()/100000)</f>
        <v/>
      </c>
    </row>
    <row r="603" ht="20" customHeight="1">
      <c r="A603" s="60" t="n"/>
      <c r="B603" s="65">
        <f>IF(A603="","",IFERROR(INDEX(Bestand!$B$14:$B$213,MATCH(A603,Bestand!$A$14:$A$213,0)),"ID unbekannt"))</f>
        <v/>
      </c>
      <c r="C603" s="63" t="n"/>
      <c r="D603" s="62" t="n"/>
      <c r="E603" s="60" t="n"/>
      <c r="F603" s="60" t="n"/>
      <c r="G603" s="61" t="n"/>
      <c r="H603" s="69">
        <f>IF(OR(A603="",C603=""),"",COUNTIFS($A$7:$A$1006,A603,$C$7:$C$1006,"&lt;"&amp;C603)+1)</f>
        <v/>
      </c>
      <c r="I603" s="67">
        <f>IF(H603="","",IF(H603=1,"",C603-_xlfn.MAXIFS($C$7:$C$1006,$A$7:$A$1006,A603,$C$7:$C$1006,"&lt;"&amp;C603)))</f>
        <v/>
      </c>
      <c r="J603" s="68">
        <f>IF(I603="","",I603/TpM)</f>
        <v/>
      </c>
      <c r="K603" s="69">
        <f>IF(H603="","",COUNTIFS($A$7:$A$1006,A603,$C$7:$C$1006,"&gt;0")-H603)</f>
        <v/>
      </c>
      <c r="L603" s="69">
        <f>IF(H603="","",A603&amp;"|"&amp;H603)</f>
        <v/>
      </c>
      <c r="M603" s="69">
        <f>IF(A603="","",IFERROR(INDEX(Bestand!$AC$14:$AC$213,MATCH(A603,Bestand!$A$14:$A$213,0)),0))</f>
        <v/>
      </c>
      <c r="N603" s="69">
        <f>IF(OR(H603="",M603&lt;&gt;1),"",C603+ROW()/100000)</f>
        <v/>
      </c>
    </row>
    <row r="604" ht="20" customHeight="1">
      <c r="A604" s="60" t="n"/>
      <c r="B604" s="65">
        <f>IF(A604="","",IFERROR(INDEX(Bestand!$B$14:$B$213,MATCH(A604,Bestand!$A$14:$A$213,0)),"ID unbekannt"))</f>
        <v/>
      </c>
      <c r="C604" s="63" t="n"/>
      <c r="D604" s="62" t="n"/>
      <c r="E604" s="60" t="n"/>
      <c r="F604" s="60" t="n"/>
      <c r="G604" s="61" t="n"/>
      <c r="H604" s="69">
        <f>IF(OR(A604="",C604=""),"",COUNTIFS($A$7:$A$1006,A604,$C$7:$C$1006,"&lt;"&amp;C604)+1)</f>
        <v/>
      </c>
      <c r="I604" s="67">
        <f>IF(H604="","",IF(H604=1,"",C604-_xlfn.MAXIFS($C$7:$C$1006,$A$7:$A$1006,A604,$C$7:$C$1006,"&lt;"&amp;C604)))</f>
        <v/>
      </c>
      <c r="J604" s="68">
        <f>IF(I604="","",I604/TpM)</f>
        <v/>
      </c>
      <c r="K604" s="69">
        <f>IF(H604="","",COUNTIFS($A$7:$A$1006,A604,$C$7:$C$1006,"&gt;0")-H604)</f>
        <v/>
      </c>
      <c r="L604" s="69">
        <f>IF(H604="","",A604&amp;"|"&amp;H604)</f>
        <v/>
      </c>
      <c r="M604" s="69">
        <f>IF(A604="","",IFERROR(INDEX(Bestand!$AC$14:$AC$213,MATCH(A604,Bestand!$A$14:$A$213,0)),0))</f>
        <v/>
      </c>
      <c r="N604" s="69">
        <f>IF(OR(H604="",M604&lt;&gt;1),"",C604+ROW()/100000)</f>
        <v/>
      </c>
    </row>
    <row r="605" ht="20" customHeight="1">
      <c r="A605" s="60" t="n"/>
      <c r="B605" s="65">
        <f>IF(A605="","",IFERROR(INDEX(Bestand!$B$14:$B$213,MATCH(A605,Bestand!$A$14:$A$213,0)),"ID unbekannt"))</f>
        <v/>
      </c>
      <c r="C605" s="63" t="n"/>
      <c r="D605" s="62" t="n"/>
      <c r="E605" s="60" t="n"/>
      <c r="F605" s="60" t="n"/>
      <c r="G605" s="61" t="n"/>
      <c r="H605" s="69">
        <f>IF(OR(A605="",C605=""),"",COUNTIFS($A$7:$A$1006,A605,$C$7:$C$1006,"&lt;"&amp;C605)+1)</f>
        <v/>
      </c>
      <c r="I605" s="67">
        <f>IF(H605="","",IF(H605=1,"",C605-_xlfn.MAXIFS($C$7:$C$1006,$A$7:$A$1006,A605,$C$7:$C$1006,"&lt;"&amp;C605)))</f>
        <v/>
      </c>
      <c r="J605" s="68">
        <f>IF(I605="","",I605/TpM)</f>
        <v/>
      </c>
      <c r="K605" s="69">
        <f>IF(H605="","",COUNTIFS($A$7:$A$1006,A605,$C$7:$C$1006,"&gt;0")-H605)</f>
        <v/>
      </c>
      <c r="L605" s="69">
        <f>IF(H605="","",A605&amp;"|"&amp;H605)</f>
        <v/>
      </c>
      <c r="M605" s="69">
        <f>IF(A605="","",IFERROR(INDEX(Bestand!$AC$14:$AC$213,MATCH(A605,Bestand!$A$14:$A$213,0)),0))</f>
        <v/>
      </c>
      <c r="N605" s="69">
        <f>IF(OR(H605="",M605&lt;&gt;1),"",C605+ROW()/100000)</f>
        <v/>
      </c>
    </row>
    <row r="606" ht="20" customHeight="1">
      <c r="A606" s="60" t="n"/>
      <c r="B606" s="65">
        <f>IF(A606="","",IFERROR(INDEX(Bestand!$B$14:$B$213,MATCH(A606,Bestand!$A$14:$A$213,0)),"ID unbekannt"))</f>
        <v/>
      </c>
      <c r="C606" s="63" t="n"/>
      <c r="D606" s="62" t="n"/>
      <c r="E606" s="60" t="n"/>
      <c r="F606" s="60" t="n"/>
      <c r="G606" s="61" t="n"/>
      <c r="H606" s="69">
        <f>IF(OR(A606="",C606=""),"",COUNTIFS($A$7:$A$1006,A606,$C$7:$C$1006,"&lt;"&amp;C606)+1)</f>
        <v/>
      </c>
      <c r="I606" s="67">
        <f>IF(H606="","",IF(H606=1,"",C606-_xlfn.MAXIFS($C$7:$C$1006,$A$7:$A$1006,A606,$C$7:$C$1006,"&lt;"&amp;C606)))</f>
        <v/>
      </c>
      <c r="J606" s="68">
        <f>IF(I606="","",I606/TpM)</f>
        <v/>
      </c>
      <c r="K606" s="69">
        <f>IF(H606="","",COUNTIFS($A$7:$A$1006,A606,$C$7:$C$1006,"&gt;0")-H606)</f>
        <v/>
      </c>
      <c r="L606" s="69">
        <f>IF(H606="","",A606&amp;"|"&amp;H606)</f>
        <v/>
      </c>
      <c r="M606" s="69">
        <f>IF(A606="","",IFERROR(INDEX(Bestand!$AC$14:$AC$213,MATCH(A606,Bestand!$A$14:$A$213,0)),0))</f>
        <v/>
      </c>
      <c r="N606" s="69">
        <f>IF(OR(H606="",M606&lt;&gt;1),"",C606+ROW()/100000)</f>
        <v/>
      </c>
    </row>
    <row r="607" ht="20" customHeight="1">
      <c r="A607" s="60" t="n"/>
      <c r="B607" s="65">
        <f>IF(A607="","",IFERROR(INDEX(Bestand!$B$14:$B$213,MATCH(A607,Bestand!$A$14:$A$213,0)),"ID unbekannt"))</f>
        <v/>
      </c>
      <c r="C607" s="63" t="n"/>
      <c r="D607" s="62" t="n"/>
      <c r="E607" s="60" t="n"/>
      <c r="F607" s="60" t="n"/>
      <c r="G607" s="61" t="n"/>
      <c r="H607" s="69">
        <f>IF(OR(A607="",C607=""),"",COUNTIFS($A$7:$A$1006,A607,$C$7:$C$1006,"&lt;"&amp;C607)+1)</f>
        <v/>
      </c>
      <c r="I607" s="67">
        <f>IF(H607="","",IF(H607=1,"",C607-_xlfn.MAXIFS($C$7:$C$1006,$A$7:$A$1006,A607,$C$7:$C$1006,"&lt;"&amp;C607)))</f>
        <v/>
      </c>
      <c r="J607" s="68">
        <f>IF(I607="","",I607/TpM)</f>
        <v/>
      </c>
      <c r="K607" s="69">
        <f>IF(H607="","",COUNTIFS($A$7:$A$1006,A607,$C$7:$C$1006,"&gt;0")-H607)</f>
        <v/>
      </c>
      <c r="L607" s="69">
        <f>IF(H607="","",A607&amp;"|"&amp;H607)</f>
        <v/>
      </c>
      <c r="M607" s="69">
        <f>IF(A607="","",IFERROR(INDEX(Bestand!$AC$14:$AC$213,MATCH(A607,Bestand!$A$14:$A$213,0)),0))</f>
        <v/>
      </c>
      <c r="N607" s="69">
        <f>IF(OR(H607="",M607&lt;&gt;1),"",C607+ROW()/100000)</f>
        <v/>
      </c>
    </row>
    <row r="608" ht="20" customHeight="1">
      <c r="A608" s="60" t="n"/>
      <c r="B608" s="65">
        <f>IF(A608="","",IFERROR(INDEX(Bestand!$B$14:$B$213,MATCH(A608,Bestand!$A$14:$A$213,0)),"ID unbekannt"))</f>
        <v/>
      </c>
      <c r="C608" s="63" t="n"/>
      <c r="D608" s="62" t="n"/>
      <c r="E608" s="60" t="n"/>
      <c r="F608" s="60" t="n"/>
      <c r="G608" s="61" t="n"/>
      <c r="H608" s="69">
        <f>IF(OR(A608="",C608=""),"",COUNTIFS($A$7:$A$1006,A608,$C$7:$C$1006,"&lt;"&amp;C608)+1)</f>
        <v/>
      </c>
      <c r="I608" s="67">
        <f>IF(H608="","",IF(H608=1,"",C608-_xlfn.MAXIFS($C$7:$C$1006,$A$7:$A$1006,A608,$C$7:$C$1006,"&lt;"&amp;C608)))</f>
        <v/>
      </c>
      <c r="J608" s="68">
        <f>IF(I608="","",I608/TpM)</f>
        <v/>
      </c>
      <c r="K608" s="69">
        <f>IF(H608="","",COUNTIFS($A$7:$A$1006,A608,$C$7:$C$1006,"&gt;0")-H608)</f>
        <v/>
      </c>
      <c r="L608" s="69">
        <f>IF(H608="","",A608&amp;"|"&amp;H608)</f>
        <v/>
      </c>
      <c r="M608" s="69">
        <f>IF(A608="","",IFERROR(INDEX(Bestand!$AC$14:$AC$213,MATCH(A608,Bestand!$A$14:$A$213,0)),0))</f>
        <v/>
      </c>
      <c r="N608" s="69">
        <f>IF(OR(H608="",M608&lt;&gt;1),"",C608+ROW()/100000)</f>
        <v/>
      </c>
    </row>
    <row r="609" ht="20" customHeight="1">
      <c r="A609" s="60" t="n"/>
      <c r="B609" s="65">
        <f>IF(A609="","",IFERROR(INDEX(Bestand!$B$14:$B$213,MATCH(A609,Bestand!$A$14:$A$213,0)),"ID unbekannt"))</f>
        <v/>
      </c>
      <c r="C609" s="63" t="n"/>
      <c r="D609" s="62" t="n"/>
      <c r="E609" s="60" t="n"/>
      <c r="F609" s="60" t="n"/>
      <c r="G609" s="61" t="n"/>
      <c r="H609" s="69">
        <f>IF(OR(A609="",C609=""),"",COUNTIFS($A$7:$A$1006,A609,$C$7:$C$1006,"&lt;"&amp;C609)+1)</f>
        <v/>
      </c>
      <c r="I609" s="67">
        <f>IF(H609="","",IF(H609=1,"",C609-_xlfn.MAXIFS($C$7:$C$1006,$A$7:$A$1006,A609,$C$7:$C$1006,"&lt;"&amp;C609)))</f>
        <v/>
      </c>
      <c r="J609" s="68">
        <f>IF(I609="","",I609/TpM)</f>
        <v/>
      </c>
      <c r="K609" s="69">
        <f>IF(H609="","",COUNTIFS($A$7:$A$1006,A609,$C$7:$C$1006,"&gt;0")-H609)</f>
        <v/>
      </c>
      <c r="L609" s="69">
        <f>IF(H609="","",A609&amp;"|"&amp;H609)</f>
        <v/>
      </c>
      <c r="M609" s="69">
        <f>IF(A609="","",IFERROR(INDEX(Bestand!$AC$14:$AC$213,MATCH(A609,Bestand!$A$14:$A$213,0)),0))</f>
        <v/>
      </c>
      <c r="N609" s="69">
        <f>IF(OR(H609="",M609&lt;&gt;1),"",C609+ROW()/100000)</f>
        <v/>
      </c>
    </row>
    <row r="610" ht="20" customHeight="1">
      <c r="A610" s="60" t="n"/>
      <c r="B610" s="65">
        <f>IF(A610="","",IFERROR(INDEX(Bestand!$B$14:$B$213,MATCH(A610,Bestand!$A$14:$A$213,0)),"ID unbekannt"))</f>
        <v/>
      </c>
      <c r="C610" s="63" t="n"/>
      <c r="D610" s="62" t="n"/>
      <c r="E610" s="60" t="n"/>
      <c r="F610" s="60" t="n"/>
      <c r="G610" s="61" t="n"/>
      <c r="H610" s="69">
        <f>IF(OR(A610="",C610=""),"",COUNTIFS($A$7:$A$1006,A610,$C$7:$C$1006,"&lt;"&amp;C610)+1)</f>
        <v/>
      </c>
      <c r="I610" s="67">
        <f>IF(H610="","",IF(H610=1,"",C610-_xlfn.MAXIFS($C$7:$C$1006,$A$7:$A$1006,A610,$C$7:$C$1006,"&lt;"&amp;C610)))</f>
        <v/>
      </c>
      <c r="J610" s="68">
        <f>IF(I610="","",I610/TpM)</f>
        <v/>
      </c>
      <c r="K610" s="69">
        <f>IF(H610="","",COUNTIFS($A$7:$A$1006,A610,$C$7:$C$1006,"&gt;0")-H610)</f>
        <v/>
      </c>
      <c r="L610" s="69">
        <f>IF(H610="","",A610&amp;"|"&amp;H610)</f>
        <v/>
      </c>
      <c r="M610" s="69">
        <f>IF(A610="","",IFERROR(INDEX(Bestand!$AC$14:$AC$213,MATCH(A610,Bestand!$A$14:$A$213,0)),0))</f>
        <v/>
      </c>
      <c r="N610" s="69">
        <f>IF(OR(H610="",M610&lt;&gt;1),"",C610+ROW()/100000)</f>
        <v/>
      </c>
    </row>
    <row r="611" ht="20" customHeight="1">
      <c r="A611" s="60" t="n"/>
      <c r="B611" s="65">
        <f>IF(A611="","",IFERROR(INDEX(Bestand!$B$14:$B$213,MATCH(A611,Bestand!$A$14:$A$213,0)),"ID unbekannt"))</f>
        <v/>
      </c>
      <c r="C611" s="63" t="n"/>
      <c r="D611" s="62" t="n"/>
      <c r="E611" s="60" t="n"/>
      <c r="F611" s="60" t="n"/>
      <c r="G611" s="61" t="n"/>
      <c r="H611" s="69">
        <f>IF(OR(A611="",C611=""),"",COUNTIFS($A$7:$A$1006,A611,$C$7:$C$1006,"&lt;"&amp;C611)+1)</f>
        <v/>
      </c>
      <c r="I611" s="67">
        <f>IF(H611="","",IF(H611=1,"",C611-_xlfn.MAXIFS($C$7:$C$1006,$A$7:$A$1006,A611,$C$7:$C$1006,"&lt;"&amp;C611)))</f>
        <v/>
      </c>
      <c r="J611" s="68">
        <f>IF(I611="","",I611/TpM)</f>
        <v/>
      </c>
      <c r="K611" s="69">
        <f>IF(H611="","",COUNTIFS($A$7:$A$1006,A611,$C$7:$C$1006,"&gt;0")-H611)</f>
        <v/>
      </c>
      <c r="L611" s="69">
        <f>IF(H611="","",A611&amp;"|"&amp;H611)</f>
        <v/>
      </c>
      <c r="M611" s="69">
        <f>IF(A611="","",IFERROR(INDEX(Bestand!$AC$14:$AC$213,MATCH(A611,Bestand!$A$14:$A$213,0)),0))</f>
        <v/>
      </c>
      <c r="N611" s="69">
        <f>IF(OR(H611="",M611&lt;&gt;1),"",C611+ROW()/100000)</f>
        <v/>
      </c>
    </row>
    <row r="612" ht="20" customHeight="1">
      <c r="A612" s="60" t="n"/>
      <c r="B612" s="65">
        <f>IF(A612="","",IFERROR(INDEX(Bestand!$B$14:$B$213,MATCH(A612,Bestand!$A$14:$A$213,0)),"ID unbekannt"))</f>
        <v/>
      </c>
      <c r="C612" s="63" t="n"/>
      <c r="D612" s="62" t="n"/>
      <c r="E612" s="60" t="n"/>
      <c r="F612" s="60" t="n"/>
      <c r="G612" s="61" t="n"/>
      <c r="H612" s="69">
        <f>IF(OR(A612="",C612=""),"",COUNTIFS($A$7:$A$1006,A612,$C$7:$C$1006,"&lt;"&amp;C612)+1)</f>
        <v/>
      </c>
      <c r="I612" s="67">
        <f>IF(H612="","",IF(H612=1,"",C612-_xlfn.MAXIFS($C$7:$C$1006,$A$7:$A$1006,A612,$C$7:$C$1006,"&lt;"&amp;C612)))</f>
        <v/>
      </c>
      <c r="J612" s="68">
        <f>IF(I612="","",I612/TpM)</f>
        <v/>
      </c>
      <c r="K612" s="69">
        <f>IF(H612="","",COUNTIFS($A$7:$A$1006,A612,$C$7:$C$1006,"&gt;0")-H612)</f>
        <v/>
      </c>
      <c r="L612" s="69">
        <f>IF(H612="","",A612&amp;"|"&amp;H612)</f>
        <v/>
      </c>
      <c r="M612" s="69">
        <f>IF(A612="","",IFERROR(INDEX(Bestand!$AC$14:$AC$213,MATCH(A612,Bestand!$A$14:$A$213,0)),0))</f>
        <v/>
      </c>
      <c r="N612" s="69">
        <f>IF(OR(H612="",M612&lt;&gt;1),"",C612+ROW()/100000)</f>
        <v/>
      </c>
    </row>
    <row r="613" ht="20" customHeight="1">
      <c r="A613" s="60" t="n"/>
      <c r="B613" s="65">
        <f>IF(A613="","",IFERROR(INDEX(Bestand!$B$14:$B$213,MATCH(A613,Bestand!$A$14:$A$213,0)),"ID unbekannt"))</f>
        <v/>
      </c>
      <c r="C613" s="63" t="n"/>
      <c r="D613" s="62" t="n"/>
      <c r="E613" s="60" t="n"/>
      <c r="F613" s="60" t="n"/>
      <c r="G613" s="61" t="n"/>
      <c r="H613" s="69">
        <f>IF(OR(A613="",C613=""),"",COUNTIFS($A$7:$A$1006,A613,$C$7:$C$1006,"&lt;"&amp;C613)+1)</f>
        <v/>
      </c>
      <c r="I613" s="67">
        <f>IF(H613="","",IF(H613=1,"",C613-_xlfn.MAXIFS($C$7:$C$1006,$A$7:$A$1006,A613,$C$7:$C$1006,"&lt;"&amp;C613)))</f>
        <v/>
      </c>
      <c r="J613" s="68">
        <f>IF(I613="","",I613/TpM)</f>
        <v/>
      </c>
      <c r="K613" s="69">
        <f>IF(H613="","",COUNTIFS($A$7:$A$1006,A613,$C$7:$C$1006,"&gt;0")-H613)</f>
        <v/>
      </c>
      <c r="L613" s="69">
        <f>IF(H613="","",A613&amp;"|"&amp;H613)</f>
        <v/>
      </c>
      <c r="M613" s="69">
        <f>IF(A613="","",IFERROR(INDEX(Bestand!$AC$14:$AC$213,MATCH(A613,Bestand!$A$14:$A$213,0)),0))</f>
        <v/>
      </c>
      <c r="N613" s="69">
        <f>IF(OR(H613="",M613&lt;&gt;1),"",C613+ROW()/100000)</f>
        <v/>
      </c>
    </row>
    <row r="614" ht="20" customHeight="1">
      <c r="A614" s="60" t="n"/>
      <c r="B614" s="65">
        <f>IF(A614="","",IFERROR(INDEX(Bestand!$B$14:$B$213,MATCH(A614,Bestand!$A$14:$A$213,0)),"ID unbekannt"))</f>
        <v/>
      </c>
      <c r="C614" s="63" t="n"/>
      <c r="D614" s="62" t="n"/>
      <c r="E614" s="60" t="n"/>
      <c r="F614" s="60" t="n"/>
      <c r="G614" s="61" t="n"/>
      <c r="H614" s="69">
        <f>IF(OR(A614="",C614=""),"",COUNTIFS($A$7:$A$1006,A614,$C$7:$C$1006,"&lt;"&amp;C614)+1)</f>
        <v/>
      </c>
      <c r="I614" s="67">
        <f>IF(H614="","",IF(H614=1,"",C614-_xlfn.MAXIFS($C$7:$C$1006,$A$7:$A$1006,A614,$C$7:$C$1006,"&lt;"&amp;C614)))</f>
        <v/>
      </c>
      <c r="J614" s="68">
        <f>IF(I614="","",I614/TpM)</f>
        <v/>
      </c>
      <c r="K614" s="69">
        <f>IF(H614="","",COUNTIFS($A$7:$A$1006,A614,$C$7:$C$1006,"&gt;0")-H614)</f>
        <v/>
      </c>
      <c r="L614" s="69">
        <f>IF(H614="","",A614&amp;"|"&amp;H614)</f>
        <v/>
      </c>
      <c r="M614" s="69">
        <f>IF(A614="","",IFERROR(INDEX(Bestand!$AC$14:$AC$213,MATCH(A614,Bestand!$A$14:$A$213,0)),0))</f>
        <v/>
      </c>
      <c r="N614" s="69">
        <f>IF(OR(H614="",M614&lt;&gt;1),"",C614+ROW()/100000)</f>
        <v/>
      </c>
    </row>
    <row r="615" ht="20" customHeight="1">
      <c r="A615" s="60" t="n"/>
      <c r="B615" s="65">
        <f>IF(A615="","",IFERROR(INDEX(Bestand!$B$14:$B$213,MATCH(A615,Bestand!$A$14:$A$213,0)),"ID unbekannt"))</f>
        <v/>
      </c>
      <c r="C615" s="63" t="n"/>
      <c r="D615" s="62" t="n"/>
      <c r="E615" s="60" t="n"/>
      <c r="F615" s="60" t="n"/>
      <c r="G615" s="61" t="n"/>
      <c r="H615" s="69">
        <f>IF(OR(A615="",C615=""),"",COUNTIFS($A$7:$A$1006,A615,$C$7:$C$1006,"&lt;"&amp;C615)+1)</f>
        <v/>
      </c>
      <c r="I615" s="67">
        <f>IF(H615="","",IF(H615=1,"",C615-_xlfn.MAXIFS($C$7:$C$1006,$A$7:$A$1006,A615,$C$7:$C$1006,"&lt;"&amp;C615)))</f>
        <v/>
      </c>
      <c r="J615" s="68">
        <f>IF(I615="","",I615/TpM)</f>
        <v/>
      </c>
      <c r="K615" s="69">
        <f>IF(H615="","",COUNTIFS($A$7:$A$1006,A615,$C$7:$C$1006,"&gt;0")-H615)</f>
        <v/>
      </c>
      <c r="L615" s="69">
        <f>IF(H615="","",A615&amp;"|"&amp;H615)</f>
        <v/>
      </c>
      <c r="M615" s="69">
        <f>IF(A615="","",IFERROR(INDEX(Bestand!$AC$14:$AC$213,MATCH(A615,Bestand!$A$14:$A$213,0)),0))</f>
        <v/>
      </c>
      <c r="N615" s="69">
        <f>IF(OR(H615="",M615&lt;&gt;1),"",C615+ROW()/100000)</f>
        <v/>
      </c>
    </row>
    <row r="616" ht="20" customHeight="1">
      <c r="A616" s="60" t="n"/>
      <c r="B616" s="65">
        <f>IF(A616="","",IFERROR(INDEX(Bestand!$B$14:$B$213,MATCH(A616,Bestand!$A$14:$A$213,0)),"ID unbekannt"))</f>
        <v/>
      </c>
      <c r="C616" s="63" t="n"/>
      <c r="D616" s="62" t="n"/>
      <c r="E616" s="60" t="n"/>
      <c r="F616" s="60" t="n"/>
      <c r="G616" s="61" t="n"/>
      <c r="H616" s="69">
        <f>IF(OR(A616="",C616=""),"",COUNTIFS($A$7:$A$1006,A616,$C$7:$C$1006,"&lt;"&amp;C616)+1)</f>
        <v/>
      </c>
      <c r="I616" s="67">
        <f>IF(H616="","",IF(H616=1,"",C616-_xlfn.MAXIFS($C$7:$C$1006,$A$7:$A$1006,A616,$C$7:$C$1006,"&lt;"&amp;C616)))</f>
        <v/>
      </c>
      <c r="J616" s="68">
        <f>IF(I616="","",I616/TpM)</f>
        <v/>
      </c>
      <c r="K616" s="69">
        <f>IF(H616="","",COUNTIFS($A$7:$A$1006,A616,$C$7:$C$1006,"&gt;0")-H616)</f>
        <v/>
      </c>
      <c r="L616" s="69">
        <f>IF(H616="","",A616&amp;"|"&amp;H616)</f>
        <v/>
      </c>
      <c r="M616" s="69">
        <f>IF(A616="","",IFERROR(INDEX(Bestand!$AC$14:$AC$213,MATCH(A616,Bestand!$A$14:$A$213,0)),0))</f>
        <v/>
      </c>
      <c r="N616" s="69">
        <f>IF(OR(H616="",M616&lt;&gt;1),"",C616+ROW()/100000)</f>
        <v/>
      </c>
    </row>
    <row r="617" ht="20" customHeight="1">
      <c r="A617" s="60" t="n"/>
      <c r="B617" s="65">
        <f>IF(A617="","",IFERROR(INDEX(Bestand!$B$14:$B$213,MATCH(A617,Bestand!$A$14:$A$213,0)),"ID unbekannt"))</f>
        <v/>
      </c>
      <c r="C617" s="63" t="n"/>
      <c r="D617" s="62" t="n"/>
      <c r="E617" s="60" t="n"/>
      <c r="F617" s="60" t="n"/>
      <c r="G617" s="61" t="n"/>
      <c r="H617" s="69">
        <f>IF(OR(A617="",C617=""),"",COUNTIFS($A$7:$A$1006,A617,$C$7:$C$1006,"&lt;"&amp;C617)+1)</f>
        <v/>
      </c>
      <c r="I617" s="67">
        <f>IF(H617="","",IF(H617=1,"",C617-_xlfn.MAXIFS($C$7:$C$1006,$A$7:$A$1006,A617,$C$7:$C$1006,"&lt;"&amp;C617)))</f>
        <v/>
      </c>
      <c r="J617" s="68">
        <f>IF(I617="","",I617/TpM)</f>
        <v/>
      </c>
      <c r="K617" s="69">
        <f>IF(H617="","",COUNTIFS($A$7:$A$1006,A617,$C$7:$C$1006,"&gt;0")-H617)</f>
        <v/>
      </c>
      <c r="L617" s="69">
        <f>IF(H617="","",A617&amp;"|"&amp;H617)</f>
        <v/>
      </c>
      <c r="M617" s="69">
        <f>IF(A617="","",IFERROR(INDEX(Bestand!$AC$14:$AC$213,MATCH(A617,Bestand!$A$14:$A$213,0)),0))</f>
        <v/>
      </c>
      <c r="N617" s="69">
        <f>IF(OR(H617="",M617&lt;&gt;1),"",C617+ROW()/100000)</f>
        <v/>
      </c>
    </row>
    <row r="618" ht="20" customHeight="1">
      <c r="A618" s="60" t="n"/>
      <c r="B618" s="65">
        <f>IF(A618="","",IFERROR(INDEX(Bestand!$B$14:$B$213,MATCH(A618,Bestand!$A$14:$A$213,0)),"ID unbekannt"))</f>
        <v/>
      </c>
      <c r="C618" s="63" t="n"/>
      <c r="D618" s="62" t="n"/>
      <c r="E618" s="60" t="n"/>
      <c r="F618" s="60" t="n"/>
      <c r="G618" s="61" t="n"/>
      <c r="H618" s="69">
        <f>IF(OR(A618="",C618=""),"",COUNTIFS($A$7:$A$1006,A618,$C$7:$C$1006,"&lt;"&amp;C618)+1)</f>
        <v/>
      </c>
      <c r="I618" s="67">
        <f>IF(H618="","",IF(H618=1,"",C618-_xlfn.MAXIFS($C$7:$C$1006,$A$7:$A$1006,A618,$C$7:$C$1006,"&lt;"&amp;C618)))</f>
        <v/>
      </c>
      <c r="J618" s="68">
        <f>IF(I618="","",I618/TpM)</f>
        <v/>
      </c>
      <c r="K618" s="69">
        <f>IF(H618="","",COUNTIFS($A$7:$A$1006,A618,$C$7:$C$1006,"&gt;0")-H618)</f>
        <v/>
      </c>
      <c r="L618" s="69">
        <f>IF(H618="","",A618&amp;"|"&amp;H618)</f>
        <v/>
      </c>
      <c r="M618" s="69">
        <f>IF(A618="","",IFERROR(INDEX(Bestand!$AC$14:$AC$213,MATCH(A618,Bestand!$A$14:$A$213,0)),0))</f>
        <v/>
      </c>
      <c r="N618" s="69">
        <f>IF(OR(H618="",M618&lt;&gt;1),"",C618+ROW()/100000)</f>
        <v/>
      </c>
    </row>
    <row r="619" ht="20" customHeight="1">
      <c r="A619" s="60" t="n"/>
      <c r="B619" s="65">
        <f>IF(A619="","",IFERROR(INDEX(Bestand!$B$14:$B$213,MATCH(A619,Bestand!$A$14:$A$213,0)),"ID unbekannt"))</f>
        <v/>
      </c>
      <c r="C619" s="63" t="n"/>
      <c r="D619" s="62" t="n"/>
      <c r="E619" s="60" t="n"/>
      <c r="F619" s="60" t="n"/>
      <c r="G619" s="61" t="n"/>
      <c r="H619" s="69">
        <f>IF(OR(A619="",C619=""),"",COUNTIFS($A$7:$A$1006,A619,$C$7:$C$1006,"&lt;"&amp;C619)+1)</f>
        <v/>
      </c>
      <c r="I619" s="67">
        <f>IF(H619="","",IF(H619=1,"",C619-_xlfn.MAXIFS($C$7:$C$1006,$A$7:$A$1006,A619,$C$7:$C$1006,"&lt;"&amp;C619)))</f>
        <v/>
      </c>
      <c r="J619" s="68">
        <f>IF(I619="","",I619/TpM)</f>
        <v/>
      </c>
      <c r="K619" s="69">
        <f>IF(H619="","",COUNTIFS($A$7:$A$1006,A619,$C$7:$C$1006,"&gt;0")-H619)</f>
        <v/>
      </c>
      <c r="L619" s="69">
        <f>IF(H619="","",A619&amp;"|"&amp;H619)</f>
        <v/>
      </c>
      <c r="M619" s="69">
        <f>IF(A619="","",IFERROR(INDEX(Bestand!$AC$14:$AC$213,MATCH(A619,Bestand!$A$14:$A$213,0)),0))</f>
        <v/>
      </c>
      <c r="N619" s="69">
        <f>IF(OR(H619="",M619&lt;&gt;1),"",C619+ROW()/100000)</f>
        <v/>
      </c>
    </row>
    <row r="620" ht="20" customHeight="1">
      <c r="A620" s="60" t="n"/>
      <c r="B620" s="65">
        <f>IF(A620="","",IFERROR(INDEX(Bestand!$B$14:$B$213,MATCH(A620,Bestand!$A$14:$A$213,0)),"ID unbekannt"))</f>
        <v/>
      </c>
      <c r="C620" s="63" t="n"/>
      <c r="D620" s="62" t="n"/>
      <c r="E620" s="60" t="n"/>
      <c r="F620" s="60" t="n"/>
      <c r="G620" s="61" t="n"/>
      <c r="H620" s="69">
        <f>IF(OR(A620="",C620=""),"",COUNTIFS($A$7:$A$1006,A620,$C$7:$C$1006,"&lt;"&amp;C620)+1)</f>
        <v/>
      </c>
      <c r="I620" s="67">
        <f>IF(H620="","",IF(H620=1,"",C620-_xlfn.MAXIFS($C$7:$C$1006,$A$7:$A$1006,A620,$C$7:$C$1006,"&lt;"&amp;C620)))</f>
        <v/>
      </c>
      <c r="J620" s="68">
        <f>IF(I620="","",I620/TpM)</f>
        <v/>
      </c>
      <c r="K620" s="69">
        <f>IF(H620="","",COUNTIFS($A$7:$A$1006,A620,$C$7:$C$1006,"&gt;0")-H620)</f>
        <v/>
      </c>
      <c r="L620" s="69">
        <f>IF(H620="","",A620&amp;"|"&amp;H620)</f>
        <v/>
      </c>
      <c r="M620" s="69">
        <f>IF(A620="","",IFERROR(INDEX(Bestand!$AC$14:$AC$213,MATCH(A620,Bestand!$A$14:$A$213,0)),0))</f>
        <v/>
      </c>
      <c r="N620" s="69">
        <f>IF(OR(H620="",M620&lt;&gt;1),"",C620+ROW()/100000)</f>
        <v/>
      </c>
    </row>
    <row r="621" ht="20" customHeight="1">
      <c r="A621" s="60" t="n"/>
      <c r="B621" s="65">
        <f>IF(A621="","",IFERROR(INDEX(Bestand!$B$14:$B$213,MATCH(A621,Bestand!$A$14:$A$213,0)),"ID unbekannt"))</f>
        <v/>
      </c>
      <c r="C621" s="63" t="n"/>
      <c r="D621" s="62" t="n"/>
      <c r="E621" s="60" t="n"/>
      <c r="F621" s="60" t="n"/>
      <c r="G621" s="61" t="n"/>
      <c r="H621" s="69">
        <f>IF(OR(A621="",C621=""),"",COUNTIFS($A$7:$A$1006,A621,$C$7:$C$1006,"&lt;"&amp;C621)+1)</f>
        <v/>
      </c>
      <c r="I621" s="67">
        <f>IF(H621="","",IF(H621=1,"",C621-_xlfn.MAXIFS($C$7:$C$1006,$A$7:$A$1006,A621,$C$7:$C$1006,"&lt;"&amp;C621)))</f>
        <v/>
      </c>
      <c r="J621" s="68">
        <f>IF(I621="","",I621/TpM)</f>
        <v/>
      </c>
      <c r="K621" s="69">
        <f>IF(H621="","",COUNTIFS($A$7:$A$1006,A621,$C$7:$C$1006,"&gt;0")-H621)</f>
        <v/>
      </c>
      <c r="L621" s="69">
        <f>IF(H621="","",A621&amp;"|"&amp;H621)</f>
        <v/>
      </c>
      <c r="M621" s="69">
        <f>IF(A621="","",IFERROR(INDEX(Bestand!$AC$14:$AC$213,MATCH(A621,Bestand!$A$14:$A$213,0)),0))</f>
        <v/>
      </c>
      <c r="N621" s="69">
        <f>IF(OR(H621="",M621&lt;&gt;1),"",C621+ROW()/100000)</f>
        <v/>
      </c>
    </row>
    <row r="622" ht="20" customHeight="1">
      <c r="A622" s="60" t="n"/>
      <c r="B622" s="65">
        <f>IF(A622="","",IFERROR(INDEX(Bestand!$B$14:$B$213,MATCH(A622,Bestand!$A$14:$A$213,0)),"ID unbekannt"))</f>
        <v/>
      </c>
      <c r="C622" s="63" t="n"/>
      <c r="D622" s="62" t="n"/>
      <c r="E622" s="60" t="n"/>
      <c r="F622" s="60" t="n"/>
      <c r="G622" s="61" t="n"/>
      <c r="H622" s="69">
        <f>IF(OR(A622="",C622=""),"",COUNTIFS($A$7:$A$1006,A622,$C$7:$C$1006,"&lt;"&amp;C622)+1)</f>
        <v/>
      </c>
      <c r="I622" s="67">
        <f>IF(H622="","",IF(H622=1,"",C622-_xlfn.MAXIFS($C$7:$C$1006,$A$7:$A$1006,A622,$C$7:$C$1006,"&lt;"&amp;C622)))</f>
        <v/>
      </c>
      <c r="J622" s="68">
        <f>IF(I622="","",I622/TpM)</f>
        <v/>
      </c>
      <c r="K622" s="69">
        <f>IF(H622="","",COUNTIFS($A$7:$A$1006,A622,$C$7:$C$1006,"&gt;0")-H622)</f>
        <v/>
      </c>
      <c r="L622" s="69">
        <f>IF(H622="","",A622&amp;"|"&amp;H622)</f>
        <v/>
      </c>
      <c r="M622" s="69">
        <f>IF(A622="","",IFERROR(INDEX(Bestand!$AC$14:$AC$213,MATCH(A622,Bestand!$A$14:$A$213,0)),0))</f>
        <v/>
      </c>
      <c r="N622" s="69">
        <f>IF(OR(H622="",M622&lt;&gt;1),"",C622+ROW()/100000)</f>
        <v/>
      </c>
    </row>
    <row r="623" ht="20" customHeight="1">
      <c r="A623" s="60" t="n"/>
      <c r="B623" s="65">
        <f>IF(A623="","",IFERROR(INDEX(Bestand!$B$14:$B$213,MATCH(A623,Bestand!$A$14:$A$213,0)),"ID unbekannt"))</f>
        <v/>
      </c>
      <c r="C623" s="63" t="n"/>
      <c r="D623" s="62" t="n"/>
      <c r="E623" s="60" t="n"/>
      <c r="F623" s="60" t="n"/>
      <c r="G623" s="61" t="n"/>
      <c r="H623" s="69">
        <f>IF(OR(A623="",C623=""),"",COUNTIFS($A$7:$A$1006,A623,$C$7:$C$1006,"&lt;"&amp;C623)+1)</f>
        <v/>
      </c>
      <c r="I623" s="67">
        <f>IF(H623="","",IF(H623=1,"",C623-_xlfn.MAXIFS($C$7:$C$1006,$A$7:$A$1006,A623,$C$7:$C$1006,"&lt;"&amp;C623)))</f>
        <v/>
      </c>
      <c r="J623" s="68">
        <f>IF(I623="","",I623/TpM)</f>
        <v/>
      </c>
      <c r="K623" s="69">
        <f>IF(H623="","",COUNTIFS($A$7:$A$1006,A623,$C$7:$C$1006,"&gt;0")-H623)</f>
        <v/>
      </c>
      <c r="L623" s="69">
        <f>IF(H623="","",A623&amp;"|"&amp;H623)</f>
        <v/>
      </c>
      <c r="M623" s="69">
        <f>IF(A623="","",IFERROR(INDEX(Bestand!$AC$14:$AC$213,MATCH(A623,Bestand!$A$14:$A$213,0)),0))</f>
        <v/>
      </c>
      <c r="N623" s="69">
        <f>IF(OR(H623="",M623&lt;&gt;1),"",C623+ROW()/100000)</f>
        <v/>
      </c>
    </row>
    <row r="624" ht="20" customHeight="1">
      <c r="A624" s="60" t="n"/>
      <c r="B624" s="65">
        <f>IF(A624="","",IFERROR(INDEX(Bestand!$B$14:$B$213,MATCH(A624,Bestand!$A$14:$A$213,0)),"ID unbekannt"))</f>
        <v/>
      </c>
      <c r="C624" s="63" t="n"/>
      <c r="D624" s="62" t="n"/>
      <c r="E624" s="60" t="n"/>
      <c r="F624" s="60" t="n"/>
      <c r="G624" s="61" t="n"/>
      <c r="H624" s="69">
        <f>IF(OR(A624="",C624=""),"",COUNTIFS($A$7:$A$1006,A624,$C$7:$C$1006,"&lt;"&amp;C624)+1)</f>
        <v/>
      </c>
      <c r="I624" s="67">
        <f>IF(H624="","",IF(H624=1,"",C624-_xlfn.MAXIFS($C$7:$C$1006,$A$7:$A$1006,A624,$C$7:$C$1006,"&lt;"&amp;C624)))</f>
        <v/>
      </c>
      <c r="J624" s="68">
        <f>IF(I624="","",I624/TpM)</f>
        <v/>
      </c>
      <c r="K624" s="69">
        <f>IF(H624="","",COUNTIFS($A$7:$A$1006,A624,$C$7:$C$1006,"&gt;0")-H624)</f>
        <v/>
      </c>
      <c r="L624" s="69">
        <f>IF(H624="","",A624&amp;"|"&amp;H624)</f>
        <v/>
      </c>
      <c r="M624" s="69">
        <f>IF(A624="","",IFERROR(INDEX(Bestand!$AC$14:$AC$213,MATCH(A624,Bestand!$A$14:$A$213,0)),0))</f>
        <v/>
      </c>
      <c r="N624" s="69">
        <f>IF(OR(H624="",M624&lt;&gt;1),"",C624+ROW()/100000)</f>
        <v/>
      </c>
    </row>
    <row r="625" ht="20" customHeight="1">
      <c r="A625" s="60" t="n"/>
      <c r="B625" s="65">
        <f>IF(A625="","",IFERROR(INDEX(Bestand!$B$14:$B$213,MATCH(A625,Bestand!$A$14:$A$213,0)),"ID unbekannt"))</f>
        <v/>
      </c>
      <c r="C625" s="63" t="n"/>
      <c r="D625" s="62" t="n"/>
      <c r="E625" s="60" t="n"/>
      <c r="F625" s="60" t="n"/>
      <c r="G625" s="61" t="n"/>
      <c r="H625" s="69">
        <f>IF(OR(A625="",C625=""),"",COUNTIFS($A$7:$A$1006,A625,$C$7:$C$1006,"&lt;"&amp;C625)+1)</f>
        <v/>
      </c>
      <c r="I625" s="67">
        <f>IF(H625="","",IF(H625=1,"",C625-_xlfn.MAXIFS($C$7:$C$1006,$A$7:$A$1006,A625,$C$7:$C$1006,"&lt;"&amp;C625)))</f>
        <v/>
      </c>
      <c r="J625" s="68">
        <f>IF(I625="","",I625/TpM)</f>
        <v/>
      </c>
      <c r="K625" s="69">
        <f>IF(H625="","",COUNTIFS($A$7:$A$1006,A625,$C$7:$C$1006,"&gt;0")-H625)</f>
        <v/>
      </c>
      <c r="L625" s="69">
        <f>IF(H625="","",A625&amp;"|"&amp;H625)</f>
        <v/>
      </c>
      <c r="M625" s="69">
        <f>IF(A625="","",IFERROR(INDEX(Bestand!$AC$14:$AC$213,MATCH(A625,Bestand!$A$14:$A$213,0)),0))</f>
        <v/>
      </c>
      <c r="N625" s="69">
        <f>IF(OR(H625="",M625&lt;&gt;1),"",C625+ROW()/100000)</f>
        <v/>
      </c>
    </row>
    <row r="626" ht="20" customHeight="1">
      <c r="A626" s="60" t="n"/>
      <c r="B626" s="65">
        <f>IF(A626="","",IFERROR(INDEX(Bestand!$B$14:$B$213,MATCH(A626,Bestand!$A$14:$A$213,0)),"ID unbekannt"))</f>
        <v/>
      </c>
      <c r="C626" s="63" t="n"/>
      <c r="D626" s="62" t="n"/>
      <c r="E626" s="60" t="n"/>
      <c r="F626" s="60" t="n"/>
      <c r="G626" s="61" t="n"/>
      <c r="H626" s="69">
        <f>IF(OR(A626="",C626=""),"",COUNTIFS($A$7:$A$1006,A626,$C$7:$C$1006,"&lt;"&amp;C626)+1)</f>
        <v/>
      </c>
      <c r="I626" s="67">
        <f>IF(H626="","",IF(H626=1,"",C626-_xlfn.MAXIFS($C$7:$C$1006,$A$7:$A$1006,A626,$C$7:$C$1006,"&lt;"&amp;C626)))</f>
        <v/>
      </c>
      <c r="J626" s="68">
        <f>IF(I626="","",I626/TpM)</f>
        <v/>
      </c>
      <c r="K626" s="69">
        <f>IF(H626="","",COUNTIFS($A$7:$A$1006,A626,$C$7:$C$1006,"&gt;0")-H626)</f>
        <v/>
      </c>
      <c r="L626" s="69">
        <f>IF(H626="","",A626&amp;"|"&amp;H626)</f>
        <v/>
      </c>
      <c r="M626" s="69">
        <f>IF(A626="","",IFERROR(INDEX(Bestand!$AC$14:$AC$213,MATCH(A626,Bestand!$A$14:$A$213,0)),0))</f>
        <v/>
      </c>
      <c r="N626" s="69">
        <f>IF(OR(H626="",M626&lt;&gt;1),"",C626+ROW()/100000)</f>
        <v/>
      </c>
    </row>
    <row r="627" ht="20" customHeight="1">
      <c r="A627" s="60" t="n"/>
      <c r="B627" s="65">
        <f>IF(A627="","",IFERROR(INDEX(Bestand!$B$14:$B$213,MATCH(A627,Bestand!$A$14:$A$213,0)),"ID unbekannt"))</f>
        <v/>
      </c>
      <c r="C627" s="63" t="n"/>
      <c r="D627" s="62" t="n"/>
      <c r="E627" s="60" t="n"/>
      <c r="F627" s="60" t="n"/>
      <c r="G627" s="61" t="n"/>
      <c r="H627" s="69">
        <f>IF(OR(A627="",C627=""),"",COUNTIFS($A$7:$A$1006,A627,$C$7:$C$1006,"&lt;"&amp;C627)+1)</f>
        <v/>
      </c>
      <c r="I627" s="67">
        <f>IF(H627="","",IF(H627=1,"",C627-_xlfn.MAXIFS($C$7:$C$1006,$A$7:$A$1006,A627,$C$7:$C$1006,"&lt;"&amp;C627)))</f>
        <v/>
      </c>
      <c r="J627" s="68">
        <f>IF(I627="","",I627/TpM)</f>
        <v/>
      </c>
      <c r="K627" s="69">
        <f>IF(H627="","",COUNTIFS($A$7:$A$1006,A627,$C$7:$C$1006,"&gt;0")-H627)</f>
        <v/>
      </c>
      <c r="L627" s="69">
        <f>IF(H627="","",A627&amp;"|"&amp;H627)</f>
        <v/>
      </c>
      <c r="M627" s="69">
        <f>IF(A627="","",IFERROR(INDEX(Bestand!$AC$14:$AC$213,MATCH(A627,Bestand!$A$14:$A$213,0)),0))</f>
        <v/>
      </c>
      <c r="N627" s="69">
        <f>IF(OR(H627="",M627&lt;&gt;1),"",C627+ROW()/100000)</f>
        <v/>
      </c>
    </row>
    <row r="628" ht="20" customHeight="1">
      <c r="A628" s="60" t="n"/>
      <c r="B628" s="65">
        <f>IF(A628="","",IFERROR(INDEX(Bestand!$B$14:$B$213,MATCH(A628,Bestand!$A$14:$A$213,0)),"ID unbekannt"))</f>
        <v/>
      </c>
      <c r="C628" s="63" t="n"/>
      <c r="D628" s="62" t="n"/>
      <c r="E628" s="60" t="n"/>
      <c r="F628" s="60" t="n"/>
      <c r="G628" s="61" t="n"/>
      <c r="H628" s="69">
        <f>IF(OR(A628="",C628=""),"",COUNTIFS($A$7:$A$1006,A628,$C$7:$C$1006,"&lt;"&amp;C628)+1)</f>
        <v/>
      </c>
      <c r="I628" s="67">
        <f>IF(H628="","",IF(H628=1,"",C628-_xlfn.MAXIFS($C$7:$C$1006,$A$7:$A$1006,A628,$C$7:$C$1006,"&lt;"&amp;C628)))</f>
        <v/>
      </c>
      <c r="J628" s="68">
        <f>IF(I628="","",I628/TpM)</f>
        <v/>
      </c>
      <c r="K628" s="69">
        <f>IF(H628="","",COUNTIFS($A$7:$A$1006,A628,$C$7:$C$1006,"&gt;0")-H628)</f>
        <v/>
      </c>
      <c r="L628" s="69">
        <f>IF(H628="","",A628&amp;"|"&amp;H628)</f>
        <v/>
      </c>
      <c r="M628" s="69">
        <f>IF(A628="","",IFERROR(INDEX(Bestand!$AC$14:$AC$213,MATCH(A628,Bestand!$A$14:$A$213,0)),0))</f>
        <v/>
      </c>
      <c r="N628" s="69">
        <f>IF(OR(H628="",M628&lt;&gt;1),"",C628+ROW()/100000)</f>
        <v/>
      </c>
    </row>
    <row r="629" ht="20" customHeight="1">
      <c r="A629" s="60" t="n"/>
      <c r="B629" s="65">
        <f>IF(A629="","",IFERROR(INDEX(Bestand!$B$14:$B$213,MATCH(A629,Bestand!$A$14:$A$213,0)),"ID unbekannt"))</f>
        <v/>
      </c>
      <c r="C629" s="63" t="n"/>
      <c r="D629" s="62" t="n"/>
      <c r="E629" s="60" t="n"/>
      <c r="F629" s="60" t="n"/>
      <c r="G629" s="61" t="n"/>
      <c r="H629" s="69">
        <f>IF(OR(A629="",C629=""),"",COUNTIFS($A$7:$A$1006,A629,$C$7:$C$1006,"&lt;"&amp;C629)+1)</f>
        <v/>
      </c>
      <c r="I629" s="67">
        <f>IF(H629="","",IF(H629=1,"",C629-_xlfn.MAXIFS($C$7:$C$1006,$A$7:$A$1006,A629,$C$7:$C$1006,"&lt;"&amp;C629)))</f>
        <v/>
      </c>
      <c r="J629" s="68">
        <f>IF(I629="","",I629/TpM)</f>
        <v/>
      </c>
      <c r="K629" s="69">
        <f>IF(H629="","",COUNTIFS($A$7:$A$1006,A629,$C$7:$C$1006,"&gt;0")-H629)</f>
        <v/>
      </c>
      <c r="L629" s="69">
        <f>IF(H629="","",A629&amp;"|"&amp;H629)</f>
        <v/>
      </c>
      <c r="M629" s="69">
        <f>IF(A629="","",IFERROR(INDEX(Bestand!$AC$14:$AC$213,MATCH(A629,Bestand!$A$14:$A$213,0)),0))</f>
        <v/>
      </c>
      <c r="N629" s="69">
        <f>IF(OR(H629="",M629&lt;&gt;1),"",C629+ROW()/100000)</f>
        <v/>
      </c>
    </row>
    <row r="630" ht="20" customHeight="1">
      <c r="A630" s="60" t="n"/>
      <c r="B630" s="65">
        <f>IF(A630="","",IFERROR(INDEX(Bestand!$B$14:$B$213,MATCH(A630,Bestand!$A$14:$A$213,0)),"ID unbekannt"))</f>
        <v/>
      </c>
      <c r="C630" s="63" t="n"/>
      <c r="D630" s="62" t="n"/>
      <c r="E630" s="60" t="n"/>
      <c r="F630" s="60" t="n"/>
      <c r="G630" s="61" t="n"/>
      <c r="H630" s="69">
        <f>IF(OR(A630="",C630=""),"",COUNTIFS($A$7:$A$1006,A630,$C$7:$C$1006,"&lt;"&amp;C630)+1)</f>
        <v/>
      </c>
      <c r="I630" s="67">
        <f>IF(H630="","",IF(H630=1,"",C630-_xlfn.MAXIFS($C$7:$C$1006,$A$7:$A$1006,A630,$C$7:$C$1006,"&lt;"&amp;C630)))</f>
        <v/>
      </c>
      <c r="J630" s="68">
        <f>IF(I630="","",I630/TpM)</f>
        <v/>
      </c>
      <c r="K630" s="69">
        <f>IF(H630="","",COUNTIFS($A$7:$A$1006,A630,$C$7:$C$1006,"&gt;0")-H630)</f>
        <v/>
      </c>
      <c r="L630" s="69">
        <f>IF(H630="","",A630&amp;"|"&amp;H630)</f>
        <v/>
      </c>
      <c r="M630" s="69">
        <f>IF(A630="","",IFERROR(INDEX(Bestand!$AC$14:$AC$213,MATCH(A630,Bestand!$A$14:$A$213,0)),0))</f>
        <v/>
      </c>
      <c r="N630" s="69">
        <f>IF(OR(H630="",M630&lt;&gt;1),"",C630+ROW()/100000)</f>
        <v/>
      </c>
    </row>
    <row r="631" ht="20" customHeight="1">
      <c r="A631" s="60" t="n"/>
      <c r="B631" s="65">
        <f>IF(A631="","",IFERROR(INDEX(Bestand!$B$14:$B$213,MATCH(A631,Bestand!$A$14:$A$213,0)),"ID unbekannt"))</f>
        <v/>
      </c>
      <c r="C631" s="63" t="n"/>
      <c r="D631" s="62" t="n"/>
      <c r="E631" s="60" t="n"/>
      <c r="F631" s="60" t="n"/>
      <c r="G631" s="61" t="n"/>
      <c r="H631" s="69">
        <f>IF(OR(A631="",C631=""),"",COUNTIFS($A$7:$A$1006,A631,$C$7:$C$1006,"&lt;"&amp;C631)+1)</f>
        <v/>
      </c>
      <c r="I631" s="67">
        <f>IF(H631="","",IF(H631=1,"",C631-_xlfn.MAXIFS($C$7:$C$1006,$A$7:$A$1006,A631,$C$7:$C$1006,"&lt;"&amp;C631)))</f>
        <v/>
      </c>
      <c r="J631" s="68">
        <f>IF(I631="","",I631/TpM)</f>
        <v/>
      </c>
      <c r="K631" s="69">
        <f>IF(H631="","",COUNTIFS($A$7:$A$1006,A631,$C$7:$C$1006,"&gt;0")-H631)</f>
        <v/>
      </c>
      <c r="L631" s="69">
        <f>IF(H631="","",A631&amp;"|"&amp;H631)</f>
        <v/>
      </c>
      <c r="M631" s="69">
        <f>IF(A631="","",IFERROR(INDEX(Bestand!$AC$14:$AC$213,MATCH(A631,Bestand!$A$14:$A$213,0)),0))</f>
        <v/>
      </c>
      <c r="N631" s="69">
        <f>IF(OR(H631="",M631&lt;&gt;1),"",C631+ROW()/100000)</f>
        <v/>
      </c>
    </row>
    <row r="632" ht="20" customHeight="1">
      <c r="A632" s="60" t="n"/>
      <c r="B632" s="65">
        <f>IF(A632="","",IFERROR(INDEX(Bestand!$B$14:$B$213,MATCH(A632,Bestand!$A$14:$A$213,0)),"ID unbekannt"))</f>
        <v/>
      </c>
      <c r="C632" s="63" t="n"/>
      <c r="D632" s="62" t="n"/>
      <c r="E632" s="60" t="n"/>
      <c r="F632" s="60" t="n"/>
      <c r="G632" s="61" t="n"/>
      <c r="H632" s="69">
        <f>IF(OR(A632="",C632=""),"",COUNTIFS($A$7:$A$1006,A632,$C$7:$C$1006,"&lt;"&amp;C632)+1)</f>
        <v/>
      </c>
      <c r="I632" s="67">
        <f>IF(H632="","",IF(H632=1,"",C632-_xlfn.MAXIFS($C$7:$C$1006,$A$7:$A$1006,A632,$C$7:$C$1006,"&lt;"&amp;C632)))</f>
        <v/>
      </c>
      <c r="J632" s="68">
        <f>IF(I632="","",I632/TpM)</f>
        <v/>
      </c>
      <c r="K632" s="69">
        <f>IF(H632="","",COUNTIFS($A$7:$A$1006,A632,$C$7:$C$1006,"&gt;0")-H632)</f>
        <v/>
      </c>
      <c r="L632" s="69">
        <f>IF(H632="","",A632&amp;"|"&amp;H632)</f>
        <v/>
      </c>
      <c r="M632" s="69">
        <f>IF(A632="","",IFERROR(INDEX(Bestand!$AC$14:$AC$213,MATCH(A632,Bestand!$A$14:$A$213,0)),0))</f>
        <v/>
      </c>
      <c r="N632" s="69">
        <f>IF(OR(H632="",M632&lt;&gt;1),"",C632+ROW()/100000)</f>
        <v/>
      </c>
    </row>
    <row r="633" ht="20" customHeight="1">
      <c r="A633" s="60" t="n"/>
      <c r="B633" s="65">
        <f>IF(A633="","",IFERROR(INDEX(Bestand!$B$14:$B$213,MATCH(A633,Bestand!$A$14:$A$213,0)),"ID unbekannt"))</f>
        <v/>
      </c>
      <c r="C633" s="63" t="n"/>
      <c r="D633" s="62" t="n"/>
      <c r="E633" s="60" t="n"/>
      <c r="F633" s="60" t="n"/>
      <c r="G633" s="61" t="n"/>
      <c r="H633" s="69">
        <f>IF(OR(A633="",C633=""),"",COUNTIFS($A$7:$A$1006,A633,$C$7:$C$1006,"&lt;"&amp;C633)+1)</f>
        <v/>
      </c>
      <c r="I633" s="67">
        <f>IF(H633="","",IF(H633=1,"",C633-_xlfn.MAXIFS($C$7:$C$1006,$A$7:$A$1006,A633,$C$7:$C$1006,"&lt;"&amp;C633)))</f>
        <v/>
      </c>
      <c r="J633" s="68">
        <f>IF(I633="","",I633/TpM)</f>
        <v/>
      </c>
      <c r="K633" s="69">
        <f>IF(H633="","",COUNTIFS($A$7:$A$1006,A633,$C$7:$C$1006,"&gt;0")-H633)</f>
        <v/>
      </c>
      <c r="L633" s="69">
        <f>IF(H633="","",A633&amp;"|"&amp;H633)</f>
        <v/>
      </c>
      <c r="M633" s="69">
        <f>IF(A633="","",IFERROR(INDEX(Bestand!$AC$14:$AC$213,MATCH(A633,Bestand!$A$14:$A$213,0)),0))</f>
        <v/>
      </c>
      <c r="N633" s="69">
        <f>IF(OR(H633="",M633&lt;&gt;1),"",C633+ROW()/100000)</f>
        <v/>
      </c>
    </row>
    <row r="634" ht="20" customHeight="1">
      <c r="A634" s="60" t="n"/>
      <c r="B634" s="65">
        <f>IF(A634="","",IFERROR(INDEX(Bestand!$B$14:$B$213,MATCH(A634,Bestand!$A$14:$A$213,0)),"ID unbekannt"))</f>
        <v/>
      </c>
      <c r="C634" s="63" t="n"/>
      <c r="D634" s="62" t="n"/>
      <c r="E634" s="60" t="n"/>
      <c r="F634" s="60" t="n"/>
      <c r="G634" s="61" t="n"/>
      <c r="H634" s="69">
        <f>IF(OR(A634="",C634=""),"",COUNTIFS($A$7:$A$1006,A634,$C$7:$C$1006,"&lt;"&amp;C634)+1)</f>
        <v/>
      </c>
      <c r="I634" s="67">
        <f>IF(H634="","",IF(H634=1,"",C634-_xlfn.MAXIFS($C$7:$C$1006,$A$7:$A$1006,A634,$C$7:$C$1006,"&lt;"&amp;C634)))</f>
        <v/>
      </c>
      <c r="J634" s="68">
        <f>IF(I634="","",I634/TpM)</f>
        <v/>
      </c>
      <c r="K634" s="69">
        <f>IF(H634="","",COUNTIFS($A$7:$A$1006,A634,$C$7:$C$1006,"&gt;0")-H634)</f>
        <v/>
      </c>
      <c r="L634" s="69">
        <f>IF(H634="","",A634&amp;"|"&amp;H634)</f>
        <v/>
      </c>
      <c r="M634" s="69">
        <f>IF(A634="","",IFERROR(INDEX(Bestand!$AC$14:$AC$213,MATCH(A634,Bestand!$A$14:$A$213,0)),0))</f>
        <v/>
      </c>
      <c r="N634" s="69">
        <f>IF(OR(H634="",M634&lt;&gt;1),"",C634+ROW()/100000)</f>
        <v/>
      </c>
    </row>
    <row r="635" ht="20" customHeight="1">
      <c r="A635" s="60" t="n"/>
      <c r="B635" s="65">
        <f>IF(A635="","",IFERROR(INDEX(Bestand!$B$14:$B$213,MATCH(A635,Bestand!$A$14:$A$213,0)),"ID unbekannt"))</f>
        <v/>
      </c>
      <c r="C635" s="63" t="n"/>
      <c r="D635" s="62" t="n"/>
      <c r="E635" s="60" t="n"/>
      <c r="F635" s="60" t="n"/>
      <c r="G635" s="61" t="n"/>
      <c r="H635" s="69">
        <f>IF(OR(A635="",C635=""),"",COUNTIFS($A$7:$A$1006,A635,$C$7:$C$1006,"&lt;"&amp;C635)+1)</f>
        <v/>
      </c>
      <c r="I635" s="67">
        <f>IF(H635="","",IF(H635=1,"",C635-_xlfn.MAXIFS($C$7:$C$1006,$A$7:$A$1006,A635,$C$7:$C$1006,"&lt;"&amp;C635)))</f>
        <v/>
      </c>
      <c r="J635" s="68">
        <f>IF(I635="","",I635/TpM)</f>
        <v/>
      </c>
      <c r="K635" s="69">
        <f>IF(H635="","",COUNTIFS($A$7:$A$1006,A635,$C$7:$C$1006,"&gt;0")-H635)</f>
        <v/>
      </c>
      <c r="L635" s="69">
        <f>IF(H635="","",A635&amp;"|"&amp;H635)</f>
        <v/>
      </c>
      <c r="M635" s="69">
        <f>IF(A635="","",IFERROR(INDEX(Bestand!$AC$14:$AC$213,MATCH(A635,Bestand!$A$14:$A$213,0)),0))</f>
        <v/>
      </c>
      <c r="N635" s="69">
        <f>IF(OR(H635="",M635&lt;&gt;1),"",C635+ROW()/100000)</f>
        <v/>
      </c>
    </row>
    <row r="636" ht="20" customHeight="1">
      <c r="A636" s="60" t="n"/>
      <c r="B636" s="65">
        <f>IF(A636="","",IFERROR(INDEX(Bestand!$B$14:$B$213,MATCH(A636,Bestand!$A$14:$A$213,0)),"ID unbekannt"))</f>
        <v/>
      </c>
      <c r="C636" s="63" t="n"/>
      <c r="D636" s="62" t="n"/>
      <c r="E636" s="60" t="n"/>
      <c r="F636" s="60" t="n"/>
      <c r="G636" s="61" t="n"/>
      <c r="H636" s="69">
        <f>IF(OR(A636="",C636=""),"",COUNTIFS($A$7:$A$1006,A636,$C$7:$C$1006,"&lt;"&amp;C636)+1)</f>
        <v/>
      </c>
      <c r="I636" s="67">
        <f>IF(H636="","",IF(H636=1,"",C636-_xlfn.MAXIFS($C$7:$C$1006,$A$7:$A$1006,A636,$C$7:$C$1006,"&lt;"&amp;C636)))</f>
        <v/>
      </c>
      <c r="J636" s="68">
        <f>IF(I636="","",I636/TpM)</f>
        <v/>
      </c>
      <c r="K636" s="69">
        <f>IF(H636="","",COUNTIFS($A$7:$A$1006,A636,$C$7:$C$1006,"&gt;0")-H636)</f>
        <v/>
      </c>
      <c r="L636" s="69">
        <f>IF(H636="","",A636&amp;"|"&amp;H636)</f>
        <v/>
      </c>
      <c r="M636" s="69">
        <f>IF(A636="","",IFERROR(INDEX(Bestand!$AC$14:$AC$213,MATCH(A636,Bestand!$A$14:$A$213,0)),0))</f>
        <v/>
      </c>
      <c r="N636" s="69">
        <f>IF(OR(H636="",M636&lt;&gt;1),"",C636+ROW()/100000)</f>
        <v/>
      </c>
    </row>
    <row r="637" ht="20" customHeight="1">
      <c r="A637" s="60" t="n"/>
      <c r="B637" s="65">
        <f>IF(A637="","",IFERROR(INDEX(Bestand!$B$14:$B$213,MATCH(A637,Bestand!$A$14:$A$213,0)),"ID unbekannt"))</f>
        <v/>
      </c>
      <c r="C637" s="63" t="n"/>
      <c r="D637" s="62" t="n"/>
      <c r="E637" s="60" t="n"/>
      <c r="F637" s="60" t="n"/>
      <c r="G637" s="61" t="n"/>
      <c r="H637" s="69">
        <f>IF(OR(A637="",C637=""),"",COUNTIFS($A$7:$A$1006,A637,$C$7:$C$1006,"&lt;"&amp;C637)+1)</f>
        <v/>
      </c>
      <c r="I637" s="67">
        <f>IF(H637="","",IF(H637=1,"",C637-_xlfn.MAXIFS($C$7:$C$1006,$A$7:$A$1006,A637,$C$7:$C$1006,"&lt;"&amp;C637)))</f>
        <v/>
      </c>
      <c r="J637" s="68">
        <f>IF(I637="","",I637/TpM)</f>
        <v/>
      </c>
      <c r="K637" s="69">
        <f>IF(H637="","",COUNTIFS($A$7:$A$1006,A637,$C$7:$C$1006,"&gt;0")-H637)</f>
        <v/>
      </c>
      <c r="L637" s="69">
        <f>IF(H637="","",A637&amp;"|"&amp;H637)</f>
        <v/>
      </c>
      <c r="M637" s="69">
        <f>IF(A637="","",IFERROR(INDEX(Bestand!$AC$14:$AC$213,MATCH(A637,Bestand!$A$14:$A$213,0)),0))</f>
        <v/>
      </c>
      <c r="N637" s="69">
        <f>IF(OR(H637="",M637&lt;&gt;1),"",C637+ROW()/100000)</f>
        <v/>
      </c>
    </row>
    <row r="638" ht="20" customHeight="1">
      <c r="A638" s="60" t="n"/>
      <c r="B638" s="65">
        <f>IF(A638="","",IFERROR(INDEX(Bestand!$B$14:$B$213,MATCH(A638,Bestand!$A$14:$A$213,0)),"ID unbekannt"))</f>
        <v/>
      </c>
      <c r="C638" s="63" t="n"/>
      <c r="D638" s="62" t="n"/>
      <c r="E638" s="60" t="n"/>
      <c r="F638" s="60" t="n"/>
      <c r="G638" s="61" t="n"/>
      <c r="H638" s="69">
        <f>IF(OR(A638="",C638=""),"",COUNTIFS($A$7:$A$1006,A638,$C$7:$C$1006,"&lt;"&amp;C638)+1)</f>
        <v/>
      </c>
      <c r="I638" s="67">
        <f>IF(H638="","",IF(H638=1,"",C638-_xlfn.MAXIFS($C$7:$C$1006,$A$7:$A$1006,A638,$C$7:$C$1006,"&lt;"&amp;C638)))</f>
        <v/>
      </c>
      <c r="J638" s="68">
        <f>IF(I638="","",I638/TpM)</f>
        <v/>
      </c>
      <c r="K638" s="69">
        <f>IF(H638="","",COUNTIFS($A$7:$A$1006,A638,$C$7:$C$1006,"&gt;0")-H638)</f>
        <v/>
      </c>
      <c r="L638" s="69">
        <f>IF(H638="","",A638&amp;"|"&amp;H638)</f>
        <v/>
      </c>
      <c r="M638" s="69">
        <f>IF(A638="","",IFERROR(INDEX(Bestand!$AC$14:$AC$213,MATCH(A638,Bestand!$A$14:$A$213,0)),0))</f>
        <v/>
      </c>
      <c r="N638" s="69">
        <f>IF(OR(H638="",M638&lt;&gt;1),"",C638+ROW()/100000)</f>
        <v/>
      </c>
    </row>
    <row r="639" ht="20" customHeight="1">
      <c r="A639" s="60" t="n"/>
      <c r="B639" s="65">
        <f>IF(A639="","",IFERROR(INDEX(Bestand!$B$14:$B$213,MATCH(A639,Bestand!$A$14:$A$213,0)),"ID unbekannt"))</f>
        <v/>
      </c>
      <c r="C639" s="63" t="n"/>
      <c r="D639" s="62" t="n"/>
      <c r="E639" s="60" t="n"/>
      <c r="F639" s="60" t="n"/>
      <c r="G639" s="61" t="n"/>
      <c r="H639" s="69">
        <f>IF(OR(A639="",C639=""),"",COUNTIFS($A$7:$A$1006,A639,$C$7:$C$1006,"&lt;"&amp;C639)+1)</f>
        <v/>
      </c>
      <c r="I639" s="67">
        <f>IF(H639="","",IF(H639=1,"",C639-_xlfn.MAXIFS($C$7:$C$1006,$A$7:$A$1006,A639,$C$7:$C$1006,"&lt;"&amp;C639)))</f>
        <v/>
      </c>
      <c r="J639" s="68">
        <f>IF(I639="","",I639/TpM)</f>
        <v/>
      </c>
      <c r="K639" s="69">
        <f>IF(H639="","",COUNTIFS($A$7:$A$1006,A639,$C$7:$C$1006,"&gt;0")-H639)</f>
        <v/>
      </c>
      <c r="L639" s="69">
        <f>IF(H639="","",A639&amp;"|"&amp;H639)</f>
        <v/>
      </c>
      <c r="M639" s="69">
        <f>IF(A639="","",IFERROR(INDEX(Bestand!$AC$14:$AC$213,MATCH(A639,Bestand!$A$14:$A$213,0)),0))</f>
        <v/>
      </c>
      <c r="N639" s="69">
        <f>IF(OR(H639="",M639&lt;&gt;1),"",C639+ROW()/100000)</f>
        <v/>
      </c>
    </row>
    <row r="640" ht="20" customHeight="1">
      <c r="A640" s="60" t="n"/>
      <c r="B640" s="65">
        <f>IF(A640="","",IFERROR(INDEX(Bestand!$B$14:$B$213,MATCH(A640,Bestand!$A$14:$A$213,0)),"ID unbekannt"))</f>
        <v/>
      </c>
      <c r="C640" s="63" t="n"/>
      <c r="D640" s="62" t="n"/>
      <c r="E640" s="60" t="n"/>
      <c r="F640" s="60" t="n"/>
      <c r="G640" s="61" t="n"/>
      <c r="H640" s="69">
        <f>IF(OR(A640="",C640=""),"",COUNTIFS($A$7:$A$1006,A640,$C$7:$C$1006,"&lt;"&amp;C640)+1)</f>
        <v/>
      </c>
      <c r="I640" s="67">
        <f>IF(H640="","",IF(H640=1,"",C640-_xlfn.MAXIFS($C$7:$C$1006,$A$7:$A$1006,A640,$C$7:$C$1006,"&lt;"&amp;C640)))</f>
        <v/>
      </c>
      <c r="J640" s="68">
        <f>IF(I640="","",I640/TpM)</f>
        <v/>
      </c>
      <c r="K640" s="69">
        <f>IF(H640="","",COUNTIFS($A$7:$A$1006,A640,$C$7:$C$1006,"&gt;0")-H640)</f>
        <v/>
      </c>
      <c r="L640" s="69">
        <f>IF(H640="","",A640&amp;"|"&amp;H640)</f>
        <v/>
      </c>
      <c r="M640" s="69">
        <f>IF(A640="","",IFERROR(INDEX(Bestand!$AC$14:$AC$213,MATCH(A640,Bestand!$A$14:$A$213,0)),0))</f>
        <v/>
      </c>
      <c r="N640" s="69">
        <f>IF(OR(H640="",M640&lt;&gt;1),"",C640+ROW()/100000)</f>
        <v/>
      </c>
    </row>
    <row r="641" ht="20" customHeight="1">
      <c r="A641" s="60" t="n"/>
      <c r="B641" s="65">
        <f>IF(A641="","",IFERROR(INDEX(Bestand!$B$14:$B$213,MATCH(A641,Bestand!$A$14:$A$213,0)),"ID unbekannt"))</f>
        <v/>
      </c>
      <c r="C641" s="63" t="n"/>
      <c r="D641" s="62" t="n"/>
      <c r="E641" s="60" t="n"/>
      <c r="F641" s="60" t="n"/>
      <c r="G641" s="61" t="n"/>
      <c r="H641" s="69">
        <f>IF(OR(A641="",C641=""),"",COUNTIFS($A$7:$A$1006,A641,$C$7:$C$1006,"&lt;"&amp;C641)+1)</f>
        <v/>
      </c>
      <c r="I641" s="67">
        <f>IF(H641="","",IF(H641=1,"",C641-_xlfn.MAXIFS($C$7:$C$1006,$A$7:$A$1006,A641,$C$7:$C$1006,"&lt;"&amp;C641)))</f>
        <v/>
      </c>
      <c r="J641" s="68">
        <f>IF(I641="","",I641/TpM)</f>
        <v/>
      </c>
      <c r="K641" s="69">
        <f>IF(H641="","",COUNTIFS($A$7:$A$1006,A641,$C$7:$C$1006,"&gt;0")-H641)</f>
        <v/>
      </c>
      <c r="L641" s="69">
        <f>IF(H641="","",A641&amp;"|"&amp;H641)</f>
        <v/>
      </c>
      <c r="M641" s="69">
        <f>IF(A641="","",IFERROR(INDEX(Bestand!$AC$14:$AC$213,MATCH(A641,Bestand!$A$14:$A$213,0)),0))</f>
        <v/>
      </c>
      <c r="N641" s="69">
        <f>IF(OR(H641="",M641&lt;&gt;1),"",C641+ROW()/100000)</f>
        <v/>
      </c>
    </row>
    <row r="642" ht="20" customHeight="1">
      <c r="A642" s="60" t="n"/>
      <c r="B642" s="65">
        <f>IF(A642="","",IFERROR(INDEX(Bestand!$B$14:$B$213,MATCH(A642,Bestand!$A$14:$A$213,0)),"ID unbekannt"))</f>
        <v/>
      </c>
      <c r="C642" s="63" t="n"/>
      <c r="D642" s="62" t="n"/>
      <c r="E642" s="60" t="n"/>
      <c r="F642" s="60" t="n"/>
      <c r="G642" s="61" t="n"/>
      <c r="H642" s="69">
        <f>IF(OR(A642="",C642=""),"",COUNTIFS($A$7:$A$1006,A642,$C$7:$C$1006,"&lt;"&amp;C642)+1)</f>
        <v/>
      </c>
      <c r="I642" s="67">
        <f>IF(H642="","",IF(H642=1,"",C642-_xlfn.MAXIFS($C$7:$C$1006,$A$7:$A$1006,A642,$C$7:$C$1006,"&lt;"&amp;C642)))</f>
        <v/>
      </c>
      <c r="J642" s="68">
        <f>IF(I642="","",I642/TpM)</f>
        <v/>
      </c>
      <c r="K642" s="69">
        <f>IF(H642="","",COUNTIFS($A$7:$A$1006,A642,$C$7:$C$1006,"&gt;0")-H642)</f>
        <v/>
      </c>
      <c r="L642" s="69">
        <f>IF(H642="","",A642&amp;"|"&amp;H642)</f>
        <v/>
      </c>
      <c r="M642" s="69">
        <f>IF(A642="","",IFERROR(INDEX(Bestand!$AC$14:$AC$213,MATCH(A642,Bestand!$A$14:$A$213,0)),0))</f>
        <v/>
      </c>
      <c r="N642" s="69">
        <f>IF(OR(H642="",M642&lt;&gt;1),"",C642+ROW()/100000)</f>
        <v/>
      </c>
    </row>
    <row r="643" ht="20" customHeight="1">
      <c r="A643" s="60" t="n"/>
      <c r="B643" s="65">
        <f>IF(A643="","",IFERROR(INDEX(Bestand!$B$14:$B$213,MATCH(A643,Bestand!$A$14:$A$213,0)),"ID unbekannt"))</f>
        <v/>
      </c>
      <c r="C643" s="63" t="n"/>
      <c r="D643" s="62" t="n"/>
      <c r="E643" s="60" t="n"/>
      <c r="F643" s="60" t="n"/>
      <c r="G643" s="61" t="n"/>
      <c r="H643" s="69">
        <f>IF(OR(A643="",C643=""),"",COUNTIFS($A$7:$A$1006,A643,$C$7:$C$1006,"&lt;"&amp;C643)+1)</f>
        <v/>
      </c>
      <c r="I643" s="67">
        <f>IF(H643="","",IF(H643=1,"",C643-_xlfn.MAXIFS($C$7:$C$1006,$A$7:$A$1006,A643,$C$7:$C$1006,"&lt;"&amp;C643)))</f>
        <v/>
      </c>
      <c r="J643" s="68">
        <f>IF(I643="","",I643/TpM)</f>
        <v/>
      </c>
      <c r="K643" s="69">
        <f>IF(H643="","",COUNTIFS($A$7:$A$1006,A643,$C$7:$C$1006,"&gt;0")-H643)</f>
        <v/>
      </c>
      <c r="L643" s="69">
        <f>IF(H643="","",A643&amp;"|"&amp;H643)</f>
        <v/>
      </c>
      <c r="M643" s="69">
        <f>IF(A643="","",IFERROR(INDEX(Bestand!$AC$14:$AC$213,MATCH(A643,Bestand!$A$14:$A$213,0)),0))</f>
        <v/>
      </c>
      <c r="N643" s="69">
        <f>IF(OR(H643="",M643&lt;&gt;1),"",C643+ROW()/100000)</f>
        <v/>
      </c>
    </row>
    <row r="644" ht="20" customHeight="1">
      <c r="A644" s="60" t="n"/>
      <c r="B644" s="65">
        <f>IF(A644="","",IFERROR(INDEX(Bestand!$B$14:$B$213,MATCH(A644,Bestand!$A$14:$A$213,0)),"ID unbekannt"))</f>
        <v/>
      </c>
      <c r="C644" s="63" t="n"/>
      <c r="D644" s="62" t="n"/>
      <c r="E644" s="60" t="n"/>
      <c r="F644" s="60" t="n"/>
      <c r="G644" s="61" t="n"/>
      <c r="H644" s="69">
        <f>IF(OR(A644="",C644=""),"",COUNTIFS($A$7:$A$1006,A644,$C$7:$C$1006,"&lt;"&amp;C644)+1)</f>
        <v/>
      </c>
      <c r="I644" s="67">
        <f>IF(H644="","",IF(H644=1,"",C644-_xlfn.MAXIFS($C$7:$C$1006,$A$7:$A$1006,A644,$C$7:$C$1006,"&lt;"&amp;C644)))</f>
        <v/>
      </c>
      <c r="J644" s="68">
        <f>IF(I644="","",I644/TpM)</f>
        <v/>
      </c>
      <c r="K644" s="69">
        <f>IF(H644="","",COUNTIFS($A$7:$A$1006,A644,$C$7:$C$1006,"&gt;0")-H644)</f>
        <v/>
      </c>
      <c r="L644" s="69">
        <f>IF(H644="","",A644&amp;"|"&amp;H644)</f>
        <v/>
      </c>
      <c r="M644" s="69">
        <f>IF(A644="","",IFERROR(INDEX(Bestand!$AC$14:$AC$213,MATCH(A644,Bestand!$A$14:$A$213,0)),0))</f>
        <v/>
      </c>
      <c r="N644" s="69">
        <f>IF(OR(H644="",M644&lt;&gt;1),"",C644+ROW()/100000)</f>
        <v/>
      </c>
    </row>
    <row r="645" ht="20" customHeight="1">
      <c r="A645" s="60" t="n"/>
      <c r="B645" s="65">
        <f>IF(A645="","",IFERROR(INDEX(Bestand!$B$14:$B$213,MATCH(A645,Bestand!$A$14:$A$213,0)),"ID unbekannt"))</f>
        <v/>
      </c>
      <c r="C645" s="63" t="n"/>
      <c r="D645" s="62" t="n"/>
      <c r="E645" s="60" t="n"/>
      <c r="F645" s="60" t="n"/>
      <c r="G645" s="61" t="n"/>
      <c r="H645" s="69">
        <f>IF(OR(A645="",C645=""),"",COUNTIFS($A$7:$A$1006,A645,$C$7:$C$1006,"&lt;"&amp;C645)+1)</f>
        <v/>
      </c>
      <c r="I645" s="67">
        <f>IF(H645="","",IF(H645=1,"",C645-_xlfn.MAXIFS($C$7:$C$1006,$A$7:$A$1006,A645,$C$7:$C$1006,"&lt;"&amp;C645)))</f>
        <v/>
      </c>
      <c r="J645" s="68">
        <f>IF(I645="","",I645/TpM)</f>
        <v/>
      </c>
      <c r="K645" s="69">
        <f>IF(H645="","",COUNTIFS($A$7:$A$1006,A645,$C$7:$C$1006,"&gt;0")-H645)</f>
        <v/>
      </c>
      <c r="L645" s="69">
        <f>IF(H645="","",A645&amp;"|"&amp;H645)</f>
        <v/>
      </c>
      <c r="M645" s="69">
        <f>IF(A645="","",IFERROR(INDEX(Bestand!$AC$14:$AC$213,MATCH(A645,Bestand!$A$14:$A$213,0)),0))</f>
        <v/>
      </c>
      <c r="N645" s="69">
        <f>IF(OR(H645="",M645&lt;&gt;1),"",C645+ROW()/100000)</f>
        <v/>
      </c>
    </row>
    <row r="646" ht="20" customHeight="1">
      <c r="A646" s="60" t="n"/>
      <c r="B646" s="65">
        <f>IF(A646="","",IFERROR(INDEX(Bestand!$B$14:$B$213,MATCH(A646,Bestand!$A$14:$A$213,0)),"ID unbekannt"))</f>
        <v/>
      </c>
      <c r="C646" s="63" t="n"/>
      <c r="D646" s="62" t="n"/>
      <c r="E646" s="60" t="n"/>
      <c r="F646" s="60" t="n"/>
      <c r="G646" s="61" t="n"/>
      <c r="H646" s="69">
        <f>IF(OR(A646="",C646=""),"",COUNTIFS($A$7:$A$1006,A646,$C$7:$C$1006,"&lt;"&amp;C646)+1)</f>
        <v/>
      </c>
      <c r="I646" s="67">
        <f>IF(H646="","",IF(H646=1,"",C646-_xlfn.MAXIFS($C$7:$C$1006,$A$7:$A$1006,A646,$C$7:$C$1006,"&lt;"&amp;C646)))</f>
        <v/>
      </c>
      <c r="J646" s="68">
        <f>IF(I646="","",I646/TpM)</f>
        <v/>
      </c>
      <c r="K646" s="69">
        <f>IF(H646="","",COUNTIFS($A$7:$A$1006,A646,$C$7:$C$1006,"&gt;0")-H646)</f>
        <v/>
      </c>
      <c r="L646" s="69">
        <f>IF(H646="","",A646&amp;"|"&amp;H646)</f>
        <v/>
      </c>
      <c r="M646" s="69">
        <f>IF(A646="","",IFERROR(INDEX(Bestand!$AC$14:$AC$213,MATCH(A646,Bestand!$A$14:$A$213,0)),0))</f>
        <v/>
      </c>
      <c r="N646" s="69">
        <f>IF(OR(H646="",M646&lt;&gt;1),"",C646+ROW()/100000)</f>
        <v/>
      </c>
    </row>
    <row r="647" ht="20" customHeight="1">
      <c r="A647" s="60" t="n"/>
      <c r="B647" s="65">
        <f>IF(A647="","",IFERROR(INDEX(Bestand!$B$14:$B$213,MATCH(A647,Bestand!$A$14:$A$213,0)),"ID unbekannt"))</f>
        <v/>
      </c>
      <c r="C647" s="63" t="n"/>
      <c r="D647" s="62" t="n"/>
      <c r="E647" s="60" t="n"/>
      <c r="F647" s="60" t="n"/>
      <c r="G647" s="61" t="n"/>
      <c r="H647" s="69">
        <f>IF(OR(A647="",C647=""),"",COUNTIFS($A$7:$A$1006,A647,$C$7:$C$1006,"&lt;"&amp;C647)+1)</f>
        <v/>
      </c>
      <c r="I647" s="67">
        <f>IF(H647="","",IF(H647=1,"",C647-_xlfn.MAXIFS($C$7:$C$1006,$A$7:$A$1006,A647,$C$7:$C$1006,"&lt;"&amp;C647)))</f>
        <v/>
      </c>
      <c r="J647" s="68">
        <f>IF(I647="","",I647/TpM)</f>
        <v/>
      </c>
      <c r="K647" s="69">
        <f>IF(H647="","",COUNTIFS($A$7:$A$1006,A647,$C$7:$C$1006,"&gt;0")-H647)</f>
        <v/>
      </c>
      <c r="L647" s="69">
        <f>IF(H647="","",A647&amp;"|"&amp;H647)</f>
        <v/>
      </c>
      <c r="M647" s="69">
        <f>IF(A647="","",IFERROR(INDEX(Bestand!$AC$14:$AC$213,MATCH(A647,Bestand!$A$14:$A$213,0)),0))</f>
        <v/>
      </c>
      <c r="N647" s="69">
        <f>IF(OR(H647="",M647&lt;&gt;1),"",C647+ROW()/100000)</f>
        <v/>
      </c>
    </row>
    <row r="648" ht="20" customHeight="1">
      <c r="A648" s="60" t="n"/>
      <c r="B648" s="65">
        <f>IF(A648="","",IFERROR(INDEX(Bestand!$B$14:$B$213,MATCH(A648,Bestand!$A$14:$A$213,0)),"ID unbekannt"))</f>
        <v/>
      </c>
      <c r="C648" s="63" t="n"/>
      <c r="D648" s="62" t="n"/>
      <c r="E648" s="60" t="n"/>
      <c r="F648" s="60" t="n"/>
      <c r="G648" s="61" t="n"/>
      <c r="H648" s="69">
        <f>IF(OR(A648="",C648=""),"",COUNTIFS($A$7:$A$1006,A648,$C$7:$C$1006,"&lt;"&amp;C648)+1)</f>
        <v/>
      </c>
      <c r="I648" s="67">
        <f>IF(H648="","",IF(H648=1,"",C648-_xlfn.MAXIFS($C$7:$C$1006,$A$7:$A$1006,A648,$C$7:$C$1006,"&lt;"&amp;C648)))</f>
        <v/>
      </c>
      <c r="J648" s="68">
        <f>IF(I648="","",I648/TpM)</f>
        <v/>
      </c>
      <c r="K648" s="69">
        <f>IF(H648="","",COUNTIFS($A$7:$A$1006,A648,$C$7:$C$1006,"&gt;0")-H648)</f>
        <v/>
      </c>
      <c r="L648" s="69">
        <f>IF(H648="","",A648&amp;"|"&amp;H648)</f>
        <v/>
      </c>
      <c r="M648" s="69">
        <f>IF(A648="","",IFERROR(INDEX(Bestand!$AC$14:$AC$213,MATCH(A648,Bestand!$A$14:$A$213,0)),0))</f>
        <v/>
      </c>
      <c r="N648" s="69">
        <f>IF(OR(H648="",M648&lt;&gt;1),"",C648+ROW()/100000)</f>
        <v/>
      </c>
    </row>
    <row r="649" ht="20" customHeight="1">
      <c r="A649" s="60" t="n"/>
      <c r="B649" s="65">
        <f>IF(A649="","",IFERROR(INDEX(Bestand!$B$14:$B$213,MATCH(A649,Bestand!$A$14:$A$213,0)),"ID unbekannt"))</f>
        <v/>
      </c>
      <c r="C649" s="63" t="n"/>
      <c r="D649" s="62" t="n"/>
      <c r="E649" s="60" t="n"/>
      <c r="F649" s="60" t="n"/>
      <c r="G649" s="61" t="n"/>
      <c r="H649" s="69">
        <f>IF(OR(A649="",C649=""),"",COUNTIFS($A$7:$A$1006,A649,$C$7:$C$1006,"&lt;"&amp;C649)+1)</f>
        <v/>
      </c>
      <c r="I649" s="67">
        <f>IF(H649="","",IF(H649=1,"",C649-_xlfn.MAXIFS($C$7:$C$1006,$A$7:$A$1006,A649,$C$7:$C$1006,"&lt;"&amp;C649)))</f>
        <v/>
      </c>
      <c r="J649" s="68">
        <f>IF(I649="","",I649/TpM)</f>
        <v/>
      </c>
      <c r="K649" s="69">
        <f>IF(H649="","",COUNTIFS($A$7:$A$1006,A649,$C$7:$C$1006,"&gt;0")-H649)</f>
        <v/>
      </c>
      <c r="L649" s="69">
        <f>IF(H649="","",A649&amp;"|"&amp;H649)</f>
        <v/>
      </c>
      <c r="M649" s="69">
        <f>IF(A649="","",IFERROR(INDEX(Bestand!$AC$14:$AC$213,MATCH(A649,Bestand!$A$14:$A$213,0)),0))</f>
        <v/>
      </c>
      <c r="N649" s="69">
        <f>IF(OR(H649="",M649&lt;&gt;1),"",C649+ROW()/100000)</f>
        <v/>
      </c>
    </row>
    <row r="650" ht="20" customHeight="1">
      <c r="A650" s="60" t="n"/>
      <c r="B650" s="65">
        <f>IF(A650="","",IFERROR(INDEX(Bestand!$B$14:$B$213,MATCH(A650,Bestand!$A$14:$A$213,0)),"ID unbekannt"))</f>
        <v/>
      </c>
      <c r="C650" s="63" t="n"/>
      <c r="D650" s="62" t="n"/>
      <c r="E650" s="60" t="n"/>
      <c r="F650" s="60" t="n"/>
      <c r="G650" s="61" t="n"/>
      <c r="H650" s="69">
        <f>IF(OR(A650="",C650=""),"",COUNTIFS($A$7:$A$1006,A650,$C$7:$C$1006,"&lt;"&amp;C650)+1)</f>
        <v/>
      </c>
      <c r="I650" s="67">
        <f>IF(H650="","",IF(H650=1,"",C650-_xlfn.MAXIFS($C$7:$C$1006,$A$7:$A$1006,A650,$C$7:$C$1006,"&lt;"&amp;C650)))</f>
        <v/>
      </c>
      <c r="J650" s="68">
        <f>IF(I650="","",I650/TpM)</f>
        <v/>
      </c>
      <c r="K650" s="69">
        <f>IF(H650="","",COUNTIFS($A$7:$A$1006,A650,$C$7:$C$1006,"&gt;0")-H650)</f>
        <v/>
      </c>
      <c r="L650" s="69">
        <f>IF(H650="","",A650&amp;"|"&amp;H650)</f>
        <v/>
      </c>
      <c r="M650" s="69">
        <f>IF(A650="","",IFERROR(INDEX(Bestand!$AC$14:$AC$213,MATCH(A650,Bestand!$A$14:$A$213,0)),0))</f>
        <v/>
      </c>
      <c r="N650" s="69">
        <f>IF(OR(H650="",M650&lt;&gt;1),"",C650+ROW()/100000)</f>
        <v/>
      </c>
    </row>
    <row r="651" ht="20" customHeight="1">
      <c r="A651" s="60" t="n"/>
      <c r="B651" s="65">
        <f>IF(A651="","",IFERROR(INDEX(Bestand!$B$14:$B$213,MATCH(A651,Bestand!$A$14:$A$213,0)),"ID unbekannt"))</f>
        <v/>
      </c>
      <c r="C651" s="63" t="n"/>
      <c r="D651" s="62" t="n"/>
      <c r="E651" s="60" t="n"/>
      <c r="F651" s="60" t="n"/>
      <c r="G651" s="61" t="n"/>
      <c r="H651" s="69">
        <f>IF(OR(A651="",C651=""),"",COUNTIFS($A$7:$A$1006,A651,$C$7:$C$1006,"&lt;"&amp;C651)+1)</f>
        <v/>
      </c>
      <c r="I651" s="67">
        <f>IF(H651="","",IF(H651=1,"",C651-_xlfn.MAXIFS($C$7:$C$1006,$A$7:$A$1006,A651,$C$7:$C$1006,"&lt;"&amp;C651)))</f>
        <v/>
      </c>
      <c r="J651" s="68">
        <f>IF(I651="","",I651/TpM)</f>
        <v/>
      </c>
      <c r="K651" s="69">
        <f>IF(H651="","",COUNTIFS($A$7:$A$1006,A651,$C$7:$C$1006,"&gt;0")-H651)</f>
        <v/>
      </c>
      <c r="L651" s="69">
        <f>IF(H651="","",A651&amp;"|"&amp;H651)</f>
        <v/>
      </c>
      <c r="M651" s="69">
        <f>IF(A651="","",IFERROR(INDEX(Bestand!$AC$14:$AC$213,MATCH(A651,Bestand!$A$14:$A$213,0)),0))</f>
        <v/>
      </c>
      <c r="N651" s="69">
        <f>IF(OR(H651="",M651&lt;&gt;1),"",C651+ROW()/100000)</f>
        <v/>
      </c>
    </row>
    <row r="652" ht="20" customHeight="1">
      <c r="A652" s="60" t="n"/>
      <c r="B652" s="65">
        <f>IF(A652="","",IFERROR(INDEX(Bestand!$B$14:$B$213,MATCH(A652,Bestand!$A$14:$A$213,0)),"ID unbekannt"))</f>
        <v/>
      </c>
      <c r="C652" s="63" t="n"/>
      <c r="D652" s="62" t="n"/>
      <c r="E652" s="60" t="n"/>
      <c r="F652" s="60" t="n"/>
      <c r="G652" s="61" t="n"/>
      <c r="H652" s="69">
        <f>IF(OR(A652="",C652=""),"",COUNTIFS($A$7:$A$1006,A652,$C$7:$C$1006,"&lt;"&amp;C652)+1)</f>
        <v/>
      </c>
      <c r="I652" s="67">
        <f>IF(H652="","",IF(H652=1,"",C652-_xlfn.MAXIFS($C$7:$C$1006,$A$7:$A$1006,A652,$C$7:$C$1006,"&lt;"&amp;C652)))</f>
        <v/>
      </c>
      <c r="J652" s="68">
        <f>IF(I652="","",I652/TpM)</f>
        <v/>
      </c>
      <c r="K652" s="69">
        <f>IF(H652="","",COUNTIFS($A$7:$A$1006,A652,$C$7:$C$1006,"&gt;0")-H652)</f>
        <v/>
      </c>
      <c r="L652" s="69">
        <f>IF(H652="","",A652&amp;"|"&amp;H652)</f>
        <v/>
      </c>
      <c r="M652" s="69">
        <f>IF(A652="","",IFERROR(INDEX(Bestand!$AC$14:$AC$213,MATCH(A652,Bestand!$A$14:$A$213,0)),0))</f>
        <v/>
      </c>
      <c r="N652" s="69">
        <f>IF(OR(H652="",M652&lt;&gt;1),"",C652+ROW()/100000)</f>
        <v/>
      </c>
    </row>
    <row r="653" ht="20" customHeight="1">
      <c r="A653" s="60" t="n"/>
      <c r="B653" s="65">
        <f>IF(A653="","",IFERROR(INDEX(Bestand!$B$14:$B$213,MATCH(A653,Bestand!$A$14:$A$213,0)),"ID unbekannt"))</f>
        <v/>
      </c>
      <c r="C653" s="63" t="n"/>
      <c r="D653" s="62" t="n"/>
      <c r="E653" s="60" t="n"/>
      <c r="F653" s="60" t="n"/>
      <c r="G653" s="61" t="n"/>
      <c r="H653" s="69">
        <f>IF(OR(A653="",C653=""),"",COUNTIFS($A$7:$A$1006,A653,$C$7:$C$1006,"&lt;"&amp;C653)+1)</f>
        <v/>
      </c>
      <c r="I653" s="67">
        <f>IF(H653="","",IF(H653=1,"",C653-_xlfn.MAXIFS($C$7:$C$1006,$A$7:$A$1006,A653,$C$7:$C$1006,"&lt;"&amp;C653)))</f>
        <v/>
      </c>
      <c r="J653" s="68">
        <f>IF(I653="","",I653/TpM)</f>
        <v/>
      </c>
      <c r="K653" s="69">
        <f>IF(H653="","",COUNTIFS($A$7:$A$1006,A653,$C$7:$C$1006,"&gt;0")-H653)</f>
        <v/>
      </c>
      <c r="L653" s="69">
        <f>IF(H653="","",A653&amp;"|"&amp;H653)</f>
        <v/>
      </c>
      <c r="M653" s="69">
        <f>IF(A653="","",IFERROR(INDEX(Bestand!$AC$14:$AC$213,MATCH(A653,Bestand!$A$14:$A$213,0)),0))</f>
        <v/>
      </c>
      <c r="N653" s="69">
        <f>IF(OR(H653="",M653&lt;&gt;1),"",C653+ROW()/100000)</f>
        <v/>
      </c>
    </row>
    <row r="654" ht="20" customHeight="1">
      <c r="A654" s="60" t="n"/>
      <c r="B654" s="65">
        <f>IF(A654="","",IFERROR(INDEX(Bestand!$B$14:$B$213,MATCH(A654,Bestand!$A$14:$A$213,0)),"ID unbekannt"))</f>
        <v/>
      </c>
      <c r="C654" s="63" t="n"/>
      <c r="D654" s="62" t="n"/>
      <c r="E654" s="60" t="n"/>
      <c r="F654" s="60" t="n"/>
      <c r="G654" s="61" t="n"/>
      <c r="H654" s="69">
        <f>IF(OR(A654="",C654=""),"",COUNTIFS($A$7:$A$1006,A654,$C$7:$C$1006,"&lt;"&amp;C654)+1)</f>
        <v/>
      </c>
      <c r="I654" s="67">
        <f>IF(H654="","",IF(H654=1,"",C654-_xlfn.MAXIFS($C$7:$C$1006,$A$7:$A$1006,A654,$C$7:$C$1006,"&lt;"&amp;C654)))</f>
        <v/>
      </c>
      <c r="J654" s="68">
        <f>IF(I654="","",I654/TpM)</f>
        <v/>
      </c>
      <c r="K654" s="69">
        <f>IF(H654="","",COUNTIFS($A$7:$A$1006,A654,$C$7:$C$1006,"&gt;0")-H654)</f>
        <v/>
      </c>
      <c r="L654" s="69">
        <f>IF(H654="","",A654&amp;"|"&amp;H654)</f>
        <v/>
      </c>
      <c r="M654" s="69">
        <f>IF(A654="","",IFERROR(INDEX(Bestand!$AC$14:$AC$213,MATCH(A654,Bestand!$A$14:$A$213,0)),0))</f>
        <v/>
      </c>
      <c r="N654" s="69">
        <f>IF(OR(H654="",M654&lt;&gt;1),"",C654+ROW()/100000)</f>
        <v/>
      </c>
    </row>
    <row r="655" ht="20" customHeight="1">
      <c r="A655" s="60" t="n"/>
      <c r="B655" s="65">
        <f>IF(A655="","",IFERROR(INDEX(Bestand!$B$14:$B$213,MATCH(A655,Bestand!$A$14:$A$213,0)),"ID unbekannt"))</f>
        <v/>
      </c>
      <c r="C655" s="63" t="n"/>
      <c r="D655" s="62" t="n"/>
      <c r="E655" s="60" t="n"/>
      <c r="F655" s="60" t="n"/>
      <c r="G655" s="61" t="n"/>
      <c r="H655" s="69">
        <f>IF(OR(A655="",C655=""),"",COUNTIFS($A$7:$A$1006,A655,$C$7:$C$1006,"&lt;"&amp;C655)+1)</f>
        <v/>
      </c>
      <c r="I655" s="67">
        <f>IF(H655="","",IF(H655=1,"",C655-_xlfn.MAXIFS($C$7:$C$1006,$A$7:$A$1006,A655,$C$7:$C$1006,"&lt;"&amp;C655)))</f>
        <v/>
      </c>
      <c r="J655" s="68">
        <f>IF(I655="","",I655/TpM)</f>
        <v/>
      </c>
      <c r="K655" s="69">
        <f>IF(H655="","",COUNTIFS($A$7:$A$1006,A655,$C$7:$C$1006,"&gt;0")-H655)</f>
        <v/>
      </c>
      <c r="L655" s="69">
        <f>IF(H655="","",A655&amp;"|"&amp;H655)</f>
        <v/>
      </c>
      <c r="M655" s="69">
        <f>IF(A655="","",IFERROR(INDEX(Bestand!$AC$14:$AC$213,MATCH(A655,Bestand!$A$14:$A$213,0)),0))</f>
        <v/>
      </c>
      <c r="N655" s="69">
        <f>IF(OR(H655="",M655&lt;&gt;1),"",C655+ROW()/100000)</f>
        <v/>
      </c>
    </row>
    <row r="656" ht="20" customHeight="1">
      <c r="A656" s="60" t="n"/>
      <c r="B656" s="65">
        <f>IF(A656="","",IFERROR(INDEX(Bestand!$B$14:$B$213,MATCH(A656,Bestand!$A$14:$A$213,0)),"ID unbekannt"))</f>
        <v/>
      </c>
      <c r="C656" s="63" t="n"/>
      <c r="D656" s="62" t="n"/>
      <c r="E656" s="60" t="n"/>
      <c r="F656" s="60" t="n"/>
      <c r="G656" s="61" t="n"/>
      <c r="H656" s="69">
        <f>IF(OR(A656="",C656=""),"",COUNTIFS($A$7:$A$1006,A656,$C$7:$C$1006,"&lt;"&amp;C656)+1)</f>
        <v/>
      </c>
      <c r="I656" s="67">
        <f>IF(H656="","",IF(H656=1,"",C656-_xlfn.MAXIFS($C$7:$C$1006,$A$7:$A$1006,A656,$C$7:$C$1006,"&lt;"&amp;C656)))</f>
        <v/>
      </c>
      <c r="J656" s="68">
        <f>IF(I656="","",I656/TpM)</f>
        <v/>
      </c>
      <c r="K656" s="69">
        <f>IF(H656="","",COUNTIFS($A$7:$A$1006,A656,$C$7:$C$1006,"&gt;0")-H656)</f>
        <v/>
      </c>
      <c r="L656" s="69">
        <f>IF(H656="","",A656&amp;"|"&amp;H656)</f>
        <v/>
      </c>
      <c r="M656" s="69">
        <f>IF(A656="","",IFERROR(INDEX(Bestand!$AC$14:$AC$213,MATCH(A656,Bestand!$A$14:$A$213,0)),0))</f>
        <v/>
      </c>
      <c r="N656" s="69">
        <f>IF(OR(H656="",M656&lt;&gt;1),"",C656+ROW()/100000)</f>
        <v/>
      </c>
    </row>
    <row r="657" ht="20" customHeight="1">
      <c r="A657" s="60" t="n"/>
      <c r="B657" s="65">
        <f>IF(A657="","",IFERROR(INDEX(Bestand!$B$14:$B$213,MATCH(A657,Bestand!$A$14:$A$213,0)),"ID unbekannt"))</f>
        <v/>
      </c>
      <c r="C657" s="63" t="n"/>
      <c r="D657" s="62" t="n"/>
      <c r="E657" s="60" t="n"/>
      <c r="F657" s="60" t="n"/>
      <c r="G657" s="61" t="n"/>
      <c r="H657" s="69">
        <f>IF(OR(A657="",C657=""),"",COUNTIFS($A$7:$A$1006,A657,$C$7:$C$1006,"&lt;"&amp;C657)+1)</f>
        <v/>
      </c>
      <c r="I657" s="67">
        <f>IF(H657="","",IF(H657=1,"",C657-_xlfn.MAXIFS($C$7:$C$1006,$A$7:$A$1006,A657,$C$7:$C$1006,"&lt;"&amp;C657)))</f>
        <v/>
      </c>
      <c r="J657" s="68">
        <f>IF(I657="","",I657/TpM)</f>
        <v/>
      </c>
      <c r="K657" s="69">
        <f>IF(H657="","",COUNTIFS($A$7:$A$1006,A657,$C$7:$C$1006,"&gt;0")-H657)</f>
        <v/>
      </c>
      <c r="L657" s="69">
        <f>IF(H657="","",A657&amp;"|"&amp;H657)</f>
        <v/>
      </c>
      <c r="M657" s="69">
        <f>IF(A657="","",IFERROR(INDEX(Bestand!$AC$14:$AC$213,MATCH(A657,Bestand!$A$14:$A$213,0)),0))</f>
        <v/>
      </c>
      <c r="N657" s="69">
        <f>IF(OR(H657="",M657&lt;&gt;1),"",C657+ROW()/100000)</f>
        <v/>
      </c>
    </row>
    <row r="658" ht="20" customHeight="1">
      <c r="A658" s="60" t="n"/>
      <c r="B658" s="65">
        <f>IF(A658="","",IFERROR(INDEX(Bestand!$B$14:$B$213,MATCH(A658,Bestand!$A$14:$A$213,0)),"ID unbekannt"))</f>
        <v/>
      </c>
      <c r="C658" s="63" t="n"/>
      <c r="D658" s="62" t="n"/>
      <c r="E658" s="60" t="n"/>
      <c r="F658" s="60" t="n"/>
      <c r="G658" s="61" t="n"/>
      <c r="H658" s="69">
        <f>IF(OR(A658="",C658=""),"",COUNTIFS($A$7:$A$1006,A658,$C$7:$C$1006,"&lt;"&amp;C658)+1)</f>
        <v/>
      </c>
      <c r="I658" s="67">
        <f>IF(H658="","",IF(H658=1,"",C658-_xlfn.MAXIFS($C$7:$C$1006,$A$7:$A$1006,A658,$C$7:$C$1006,"&lt;"&amp;C658)))</f>
        <v/>
      </c>
      <c r="J658" s="68">
        <f>IF(I658="","",I658/TpM)</f>
        <v/>
      </c>
      <c r="K658" s="69">
        <f>IF(H658="","",COUNTIFS($A$7:$A$1006,A658,$C$7:$C$1006,"&gt;0")-H658)</f>
        <v/>
      </c>
      <c r="L658" s="69">
        <f>IF(H658="","",A658&amp;"|"&amp;H658)</f>
        <v/>
      </c>
      <c r="M658" s="69">
        <f>IF(A658="","",IFERROR(INDEX(Bestand!$AC$14:$AC$213,MATCH(A658,Bestand!$A$14:$A$213,0)),0))</f>
        <v/>
      </c>
      <c r="N658" s="69">
        <f>IF(OR(H658="",M658&lt;&gt;1),"",C658+ROW()/100000)</f>
        <v/>
      </c>
    </row>
    <row r="659" ht="20" customHeight="1">
      <c r="A659" s="60" t="n"/>
      <c r="B659" s="65">
        <f>IF(A659="","",IFERROR(INDEX(Bestand!$B$14:$B$213,MATCH(A659,Bestand!$A$14:$A$213,0)),"ID unbekannt"))</f>
        <v/>
      </c>
      <c r="C659" s="63" t="n"/>
      <c r="D659" s="62" t="n"/>
      <c r="E659" s="60" t="n"/>
      <c r="F659" s="60" t="n"/>
      <c r="G659" s="61" t="n"/>
      <c r="H659" s="69">
        <f>IF(OR(A659="",C659=""),"",COUNTIFS($A$7:$A$1006,A659,$C$7:$C$1006,"&lt;"&amp;C659)+1)</f>
        <v/>
      </c>
      <c r="I659" s="67">
        <f>IF(H659="","",IF(H659=1,"",C659-_xlfn.MAXIFS($C$7:$C$1006,$A$7:$A$1006,A659,$C$7:$C$1006,"&lt;"&amp;C659)))</f>
        <v/>
      </c>
      <c r="J659" s="68">
        <f>IF(I659="","",I659/TpM)</f>
        <v/>
      </c>
      <c r="K659" s="69">
        <f>IF(H659="","",COUNTIFS($A$7:$A$1006,A659,$C$7:$C$1006,"&gt;0")-H659)</f>
        <v/>
      </c>
      <c r="L659" s="69">
        <f>IF(H659="","",A659&amp;"|"&amp;H659)</f>
        <v/>
      </c>
      <c r="M659" s="69">
        <f>IF(A659="","",IFERROR(INDEX(Bestand!$AC$14:$AC$213,MATCH(A659,Bestand!$A$14:$A$213,0)),0))</f>
        <v/>
      </c>
      <c r="N659" s="69">
        <f>IF(OR(H659="",M659&lt;&gt;1),"",C659+ROW()/100000)</f>
        <v/>
      </c>
    </row>
    <row r="660" ht="20" customHeight="1">
      <c r="A660" s="60" t="n"/>
      <c r="B660" s="65">
        <f>IF(A660="","",IFERROR(INDEX(Bestand!$B$14:$B$213,MATCH(A660,Bestand!$A$14:$A$213,0)),"ID unbekannt"))</f>
        <v/>
      </c>
      <c r="C660" s="63" t="n"/>
      <c r="D660" s="62" t="n"/>
      <c r="E660" s="60" t="n"/>
      <c r="F660" s="60" t="n"/>
      <c r="G660" s="61" t="n"/>
      <c r="H660" s="69">
        <f>IF(OR(A660="",C660=""),"",COUNTIFS($A$7:$A$1006,A660,$C$7:$C$1006,"&lt;"&amp;C660)+1)</f>
        <v/>
      </c>
      <c r="I660" s="67">
        <f>IF(H660="","",IF(H660=1,"",C660-_xlfn.MAXIFS($C$7:$C$1006,$A$7:$A$1006,A660,$C$7:$C$1006,"&lt;"&amp;C660)))</f>
        <v/>
      </c>
      <c r="J660" s="68">
        <f>IF(I660="","",I660/TpM)</f>
        <v/>
      </c>
      <c r="K660" s="69">
        <f>IF(H660="","",COUNTIFS($A$7:$A$1006,A660,$C$7:$C$1006,"&gt;0")-H660)</f>
        <v/>
      </c>
      <c r="L660" s="69">
        <f>IF(H660="","",A660&amp;"|"&amp;H660)</f>
        <v/>
      </c>
      <c r="M660" s="69">
        <f>IF(A660="","",IFERROR(INDEX(Bestand!$AC$14:$AC$213,MATCH(A660,Bestand!$A$14:$A$213,0)),0))</f>
        <v/>
      </c>
      <c r="N660" s="69">
        <f>IF(OR(H660="",M660&lt;&gt;1),"",C660+ROW()/100000)</f>
        <v/>
      </c>
    </row>
    <row r="661" ht="20" customHeight="1">
      <c r="A661" s="60" t="n"/>
      <c r="B661" s="65">
        <f>IF(A661="","",IFERROR(INDEX(Bestand!$B$14:$B$213,MATCH(A661,Bestand!$A$14:$A$213,0)),"ID unbekannt"))</f>
        <v/>
      </c>
      <c r="C661" s="63" t="n"/>
      <c r="D661" s="62" t="n"/>
      <c r="E661" s="60" t="n"/>
      <c r="F661" s="60" t="n"/>
      <c r="G661" s="61" t="n"/>
      <c r="H661" s="69">
        <f>IF(OR(A661="",C661=""),"",COUNTIFS($A$7:$A$1006,A661,$C$7:$C$1006,"&lt;"&amp;C661)+1)</f>
        <v/>
      </c>
      <c r="I661" s="67">
        <f>IF(H661="","",IF(H661=1,"",C661-_xlfn.MAXIFS($C$7:$C$1006,$A$7:$A$1006,A661,$C$7:$C$1006,"&lt;"&amp;C661)))</f>
        <v/>
      </c>
      <c r="J661" s="68">
        <f>IF(I661="","",I661/TpM)</f>
        <v/>
      </c>
      <c r="K661" s="69">
        <f>IF(H661="","",COUNTIFS($A$7:$A$1006,A661,$C$7:$C$1006,"&gt;0")-H661)</f>
        <v/>
      </c>
      <c r="L661" s="69">
        <f>IF(H661="","",A661&amp;"|"&amp;H661)</f>
        <v/>
      </c>
      <c r="M661" s="69">
        <f>IF(A661="","",IFERROR(INDEX(Bestand!$AC$14:$AC$213,MATCH(A661,Bestand!$A$14:$A$213,0)),0))</f>
        <v/>
      </c>
      <c r="N661" s="69">
        <f>IF(OR(H661="",M661&lt;&gt;1),"",C661+ROW()/100000)</f>
        <v/>
      </c>
    </row>
    <row r="662" ht="20" customHeight="1">
      <c r="A662" s="60" t="n"/>
      <c r="B662" s="65">
        <f>IF(A662="","",IFERROR(INDEX(Bestand!$B$14:$B$213,MATCH(A662,Bestand!$A$14:$A$213,0)),"ID unbekannt"))</f>
        <v/>
      </c>
      <c r="C662" s="63" t="n"/>
      <c r="D662" s="62" t="n"/>
      <c r="E662" s="60" t="n"/>
      <c r="F662" s="60" t="n"/>
      <c r="G662" s="61" t="n"/>
      <c r="H662" s="69">
        <f>IF(OR(A662="",C662=""),"",COUNTIFS($A$7:$A$1006,A662,$C$7:$C$1006,"&lt;"&amp;C662)+1)</f>
        <v/>
      </c>
      <c r="I662" s="67">
        <f>IF(H662="","",IF(H662=1,"",C662-_xlfn.MAXIFS($C$7:$C$1006,$A$7:$A$1006,A662,$C$7:$C$1006,"&lt;"&amp;C662)))</f>
        <v/>
      </c>
      <c r="J662" s="68">
        <f>IF(I662="","",I662/TpM)</f>
        <v/>
      </c>
      <c r="K662" s="69">
        <f>IF(H662="","",COUNTIFS($A$7:$A$1006,A662,$C$7:$C$1006,"&gt;0")-H662)</f>
        <v/>
      </c>
      <c r="L662" s="69">
        <f>IF(H662="","",A662&amp;"|"&amp;H662)</f>
        <v/>
      </c>
      <c r="M662" s="69">
        <f>IF(A662="","",IFERROR(INDEX(Bestand!$AC$14:$AC$213,MATCH(A662,Bestand!$A$14:$A$213,0)),0))</f>
        <v/>
      </c>
      <c r="N662" s="69">
        <f>IF(OR(H662="",M662&lt;&gt;1),"",C662+ROW()/100000)</f>
        <v/>
      </c>
    </row>
    <row r="663" ht="20" customHeight="1">
      <c r="A663" s="60" t="n"/>
      <c r="B663" s="65">
        <f>IF(A663="","",IFERROR(INDEX(Bestand!$B$14:$B$213,MATCH(A663,Bestand!$A$14:$A$213,0)),"ID unbekannt"))</f>
        <v/>
      </c>
      <c r="C663" s="63" t="n"/>
      <c r="D663" s="62" t="n"/>
      <c r="E663" s="60" t="n"/>
      <c r="F663" s="60" t="n"/>
      <c r="G663" s="61" t="n"/>
      <c r="H663" s="69">
        <f>IF(OR(A663="",C663=""),"",COUNTIFS($A$7:$A$1006,A663,$C$7:$C$1006,"&lt;"&amp;C663)+1)</f>
        <v/>
      </c>
      <c r="I663" s="67">
        <f>IF(H663="","",IF(H663=1,"",C663-_xlfn.MAXIFS($C$7:$C$1006,$A$7:$A$1006,A663,$C$7:$C$1006,"&lt;"&amp;C663)))</f>
        <v/>
      </c>
      <c r="J663" s="68">
        <f>IF(I663="","",I663/TpM)</f>
        <v/>
      </c>
      <c r="K663" s="69">
        <f>IF(H663="","",COUNTIFS($A$7:$A$1006,A663,$C$7:$C$1006,"&gt;0")-H663)</f>
        <v/>
      </c>
      <c r="L663" s="69">
        <f>IF(H663="","",A663&amp;"|"&amp;H663)</f>
        <v/>
      </c>
      <c r="M663" s="69">
        <f>IF(A663="","",IFERROR(INDEX(Bestand!$AC$14:$AC$213,MATCH(A663,Bestand!$A$14:$A$213,0)),0))</f>
        <v/>
      </c>
      <c r="N663" s="69">
        <f>IF(OR(H663="",M663&lt;&gt;1),"",C663+ROW()/100000)</f>
        <v/>
      </c>
    </row>
    <row r="664" ht="20" customHeight="1">
      <c r="A664" s="60" t="n"/>
      <c r="B664" s="65">
        <f>IF(A664="","",IFERROR(INDEX(Bestand!$B$14:$B$213,MATCH(A664,Bestand!$A$14:$A$213,0)),"ID unbekannt"))</f>
        <v/>
      </c>
      <c r="C664" s="63" t="n"/>
      <c r="D664" s="62" t="n"/>
      <c r="E664" s="60" t="n"/>
      <c r="F664" s="60" t="n"/>
      <c r="G664" s="61" t="n"/>
      <c r="H664" s="69">
        <f>IF(OR(A664="",C664=""),"",COUNTIFS($A$7:$A$1006,A664,$C$7:$C$1006,"&lt;"&amp;C664)+1)</f>
        <v/>
      </c>
      <c r="I664" s="67">
        <f>IF(H664="","",IF(H664=1,"",C664-_xlfn.MAXIFS($C$7:$C$1006,$A$7:$A$1006,A664,$C$7:$C$1006,"&lt;"&amp;C664)))</f>
        <v/>
      </c>
      <c r="J664" s="68">
        <f>IF(I664="","",I664/TpM)</f>
        <v/>
      </c>
      <c r="K664" s="69">
        <f>IF(H664="","",COUNTIFS($A$7:$A$1006,A664,$C$7:$C$1006,"&gt;0")-H664)</f>
        <v/>
      </c>
      <c r="L664" s="69">
        <f>IF(H664="","",A664&amp;"|"&amp;H664)</f>
        <v/>
      </c>
      <c r="M664" s="69">
        <f>IF(A664="","",IFERROR(INDEX(Bestand!$AC$14:$AC$213,MATCH(A664,Bestand!$A$14:$A$213,0)),0))</f>
        <v/>
      </c>
      <c r="N664" s="69">
        <f>IF(OR(H664="",M664&lt;&gt;1),"",C664+ROW()/100000)</f>
        <v/>
      </c>
    </row>
    <row r="665" ht="20" customHeight="1">
      <c r="A665" s="60" t="n"/>
      <c r="B665" s="65">
        <f>IF(A665="","",IFERROR(INDEX(Bestand!$B$14:$B$213,MATCH(A665,Bestand!$A$14:$A$213,0)),"ID unbekannt"))</f>
        <v/>
      </c>
      <c r="C665" s="63" t="n"/>
      <c r="D665" s="62" t="n"/>
      <c r="E665" s="60" t="n"/>
      <c r="F665" s="60" t="n"/>
      <c r="G665" s="61" t="n"/>
      <c r="H665" s="69">
        <f>IF(OR(A665="",C665=""),"",COUNTIFS($A$7:$A$1006,A665,$C$7:$C$1006,"&lt;"&amp;C665)+1)</f>
        <v/>
      </c>
      <c r="I665" s="67">
        <f>IF(H665="","",IF(H665=1,"",C665-_xlfn.MAXIFS($C$7:$C$1006,$A$7:$A$1006,A665,$C$7:$C$1006,"&lt;"&amp;C665)))</f>
        <v/>
      </c>
      <c r="J665" s="68">
        <f>IF(I665="","",I665/TpM)</f>
        <v/>
      </c>
      <c r="K665" s="69">
        <f>IF(H665="","",COUNTIFS($A$7:$A$1006,A665,$C$7:$C$1006,"&gt;0")-H665)</f>
        <v/>
      </c>
      <c r="L665" s="69">
        <f>IF(H665="","",A665&amp;"|"&amp;H665)</f>
        <v/>
      </c>
      <c r="M665" s="69">
        <f>IF(A665="","",IFERROR(INDEX(Bestand!$AC$14:$AC$213,MATCH(A665,Bestand!$A$14:$A$213,0)),0))</f>
        <v/>
      </c>
      <c r="N665" s="69">
        <f>IF(OR(H665="",M665&lt;&gt;1),"",C665+ROW()/100000)</f>
        <v/>
      </c>
    </row>
    <row r="666" ht="20" customHeight="1">
      <c r="A666" s="60" t="n"/>
      <c r="B666" s="65">
        <f>IF(A666="","",IFERROR(INDEX(Bestand!$B$14:$B$213,MATCH(A666,Bestand!$A$14:$A$213,0)),"ID unbekannt"))</f>
        <v/>
      </c>
      <c r="C666" s="63" t="n"/>
      <c r="D666" s="62" t="n"/>
      <c r="E666" s="60" t="n"/>
      <c r="F666" s="60" t="n"/>
      <c r="G666" s="61" t="n"/>
      <c r="H666" s="69">
        <f>IF(OR(A666="",C666=""),"",COUNTIFS($A$7:$A$1006,A666,$C$7:$C$1006,"&lt;"&amp;C666)+1)</f>
        <v/>
      </c>
      <c r="I666" s="67">
        <f>IF(H666="","",IF(H666=1,"",C666-_xlfn.MAXIFS($C$7:$C$1006,$A$7:$A$1006,A666,$C$7:$C$1006,"&lt;"&amp;C666)))</f>
        <v/>
      </c>
      <c r="J666" s="68">
        <f>IF(I666="","",I666/TpM)</f>
        <v/>
      </c>
      <c r="K666" s="69">
        <f>IF(H666="","",COUNTIFS($A$7:$A$1006,A666,$C$7:$C$1006,"&gt;0")-H666)</f>
        <v/>
      </c>
      <c r="L666" s="69">
        <f>IF(H666="","",A666&amp;"|"&amp;H666)</f>
        <v/>
      </c>
      <c r="M666" s="69">
        <f>IF(A666="","",IFERROR(INDEX(Bestand!$AC$14:$AC$213,MATCH(A666,Bestand!$A$14:$A$213,0)),0))</f>
        <v/>
      </c>
      <c r="N666" s="69">
        <f>IF(OR(H666="",M666&lt;&gt;1),"",C666+ROW()/100000)</f>
        <v/>
      </c>
    </row>
    <row r="667" ht="20" customHeight="1">
      <c r="A667" s="60" t="n"/>
      <c r="B667" s="65">
        <f>IF(A667="","",IFERROR(INDEX(Bestand!$B$14:$B$213,MATCH(A667,Bestand!$A$14:$A$213,0)),"ID unbekannt"))</f>
        <v/>
      </c>
      <c r="C667" s="63" t="n"/>
      <c r="D667" s="62" t="n"/>
      <c r="E667" s="60" t="n"/>
      <c r="F667" s="60" t="n"/>
      <c r="G667" s="61" t="n"/>
      <c r="H667" s="69">
        <f>IF(OR(A667="",C667=""),"",COUNTIFS($A$7:$A$1006,A667,$C$7:$C$1006,"&lt;"&amp;C667)+1)</f>
        <v/>
      </c>
      <c r="I667" s="67">
        <f>IF(H667="","",IF(H667=1,"",C667-_xlfn.MAXIFS($C$7:$C$1006,$A$7:$A$1006,A667,$C$7:$C$1006,"&lt;"&amp;C667)))</f>
        <v/>
      </c>
      <c r="J667" s="68">
        <f>IF(I667="","",I667/TpM)</f>
        <v/>
      </c>
      <c r="K667" s="69">
        <f>IF(H667="","",COUNTIFS($A$7:$A$1006,A667,$C$7:$C$1006,"&gt;0")-H667)</f>
        <v/>
      </c>
      <c r="L667" s="69">
        <f>IF(H667="","",A667&amp;"|"&amp;H667)</f>
        <v/>
      </c>
      <c r="M667" s="69">
        <f>IF(A667="","",IFERROR(INDEX(Bestand!$AC$14:$AC$213,MATCH(A667,Bestand!$A$14:$A$213,0)),0))</f>
        <v/>
      </c>
      <c r="N667" s="69">
        <f>IF(OR(H667="",M667&lt;&gt;1),"",C667+ROW()/100000)</f>
        <v/>
      </c>
    </row>
    <row r="668" ht="20" customHeight="1">
      <c r="A668" s="60" t="n"/>
      <c r="B668" s="65">
        <f>IF(A668="","",IFERROR(INDEX(Bestand!$B$14:$B$213,MATCH(A668,Bestand!$A$14:$A$213,0)),"ID unbekannt"))</f>
        <v/>
      </c>
      <c r="C668" s="63" t="n"/>
      <c r="D668" s="62" t="n"/>
      <c r="E668" s="60" t="n"/>
      <c r="F668" s="60" t="n"/>
      <c r="G668" s="61" t="n"/>
      <c r="H668" s="69">
        <f>IF(OR(A668="",C668=""),"",COUNTIFS($A$7:$A$1006,A668,$C$7:$C$1006,"&lt;"&amp;C668)+1)</f>
        <v/>
      </c>
      <c r="I668" s="67">
        <f>IF(H668="","",IF(H668=1,"",C668-_xlfn.MAXIFS($C$7:$C$1006,$A$7:$A$1006,A668,$C$7:$C$1006,"&lt;"&amp;C668)))</f>
        <v/>
      </c>
      <c r="J668" s="68">
        <f>IF(I668="","",I668/TpM)</f>
        <v/>
      </c>
      <c r="K668" s="69">
        <f>IF(H668="","",COUNTIFS($A$7:$A$1006,A668,$C$7:$C$1006,"&gt;0")-H668)</f>
        <v/>
      </c>
      <c r="L668" s="69">
        <f>IF(H668="","",A668&amp;"|"&amp;H668)</f>
        <v/>
      </c>
      <c r="M668" s="69">
        <f>IF(A668="","",IFERROR(INDEX(Bestand!$AC$14:$AC$213,MATCH(A668,Bestand!$A$14:$A$213,0)),0))</f>
        <v/>
      </c>
      <c r="N668" s="69">
        <f>IF(OR(H668="",M668&lt;&gt;1),"",C668+ROW()/100000)</f>
        <v/>
      </c>
    </row>
    <row r="669" ht="20" customHeight="1">
      <c r="A669" s="60" t="n"/>
      <c r="B669" s="65">
        <f>IF(A669="","",IFERROR(INDEX(Bestand!$B$14:$B$213,MATCH(A669,Bestand!$A$14:$A$213,0)),"ID unbekannt"))</f>
        <v/>
      </c>
      <c r="C669" s="63" t="n"/>
      <c r="D669" s="62" t="n"/>
      <c r="E669" s="60" t="n"/>
      <c r="F669" s="60" t="n"/>
      <c r="G669" s="61" t="n"/>
      <c r="H669" s="69">
        <f>IF(OR(A669="",C669=""),"",COUNTIFS($A$7:$A$1006,A669,$C$7:$C$1006,"&lt;"&amp;C669)+1)</f>
        <v/>
      </c>
      <c r="I669" s="67">
        <f>IF(H669="","",IF(H669=1,"",C669-_xlfn.MAXIFS($C$7:$C$1006,$A$7:$A$1006,A669,$C$7:$C$1006,"&lt;"&amp;C669)))</f>
        <v/>
      </c>
      <c r="J669" s="68">
        <f>IF(I669="","",I669/TpM)</f>
        <v/>
      </c>
      <c r="K669" s="69">
        <f>IF(H669="","",COUNTIFS($A$7:$A$1006,A669,$C$7:$C$1006,"&gt;0")-H669)</f>
        <v/>
      </c>
      <c r="L669" s="69">
        <f>IF(H669="","",A669&amp;"|"&amp;H669)</f>
        <v/>
      </c>
      <c r="M669" s="69">
        <f>IF(A669="","",IFERROR(INDEX(Bestand!$AC$14:$AC$213,MATCH(A669,Bestand!$A$14:$A$213,0)),0))</f>
        <v/>
      </c>
      <c r="N669" s="69">
        <f>IF(OR(H669="",M669&lt;&gt;1),"",C669+ROW()/100000)</f>
        <v/>
      </c>
    </row>
    <row r="670" ht="20" customHeight="1">
      <c r="A670" s="60" t="n"/>
      <c r="B670" s="65">
        <f>IF(A670="","",IFERROR(INDEX(Bestand!$B$14:$B$213,MATCH(A670,Bestand!$A$14:$A$213,0)),"ID unbekannt"))</f>
        <v/>
      </c>
      <c r="C670" s="63" t="n"/>
      <c r="D670" s="62" t="n"/>
      <c r="E670" s="60" t="n"/>
      <c r="F670" s="60" t="n"/>
      <c r="G670" s="61" t="n"/>
      <c r="H670" s="69">
        <f>IF(OR(A670="",C670=""),"",COUNTIFS($A$7:$A$1006,A670,$C$7:$C$1006,"&lt;"&amp;C670)+1)</f>
        <v/>
      </c>
      <c r="I670" s="67">
        <f>IF(H670="","",IF(H670=1,"",C670-_xlfn.MAXIFS($C$7:$C$1006,$A$7:$A$1006,A670,$C$7:$C$1006,"&lt;"&amp;C670)))</f>
        <v/>
      </c>
      <c r="J670" s="68">
        <f>IF(I670="","",I670/TpM)</f>
        <v/>
      </c>
      <c r="K670" s="69">
        <f>IF(H670="","",COUNTIFS($A$7:$A$1006,A670,$C$7:$C$1006,"&gt;0")-H670)</f>
        <v/>
      </c>
      <c r="L670" s="69">
        <f>IF(H670="","",A670&amp;"|"&amp;H670)</f>
        <v/>
      </c>
      <c r="M670" s="69">
        <f>IF(A670="","",IFERROR(INDEX(Bestand!$AC$14:$AC$213,MATCH(A670,Bestand!$A$14:$A$213,0)),0))</f>
        <v/>
      </c>
      <c r="N670" s="69">
        <f>IF(OR(H670="",M670&lt;&gt;1),"",C670+ROW()/100000)</f>
        <v/>
      </c>
    </row>
    <row r="671" ht="20" customHeight="1">
      <c r="A671" s="60" t="n"/>
      <c r="B671" s="65">
        <f>IF(A671="","",IFERROR(INDEX(Bestand!$B$14:$B$213,MATCH(A671,Bestand!$A$14:$A$213,0)),"ID unbekannt"))</f>
        <v/>
      </c>
      <c r="C671" s="63" t="n"/>
      <c r="D671" s="62" t="n"/>
      <c r="E671" s="60" t="n"/>
      <c r="F671" s="60" t="n"/>
      <c r="G671" s="61" t="n"/>
      <c r="H671" s="69">
        <f>IF(OR(A671="",C671=""),"",COUNTIFS($A$7:$A$1006,A671,$C$7:$C$1006,"&lt;"&amp;C671)+1)</f>
        <v/>
      </c>
      <c r="I671" s="67">
        <f>IF(H671="","",IF(H671=1,"",C671-_xlfn.MAXIFS($C$7:$C$1006,$A$7:$A$1006,A671,$C$7:$C$1006,"&lt;"&amp;C671)))</f>
        <v/>
      </c>
      <c r="J671" s="68">
        <f>IF(I671="","",I671/TpM)</f>
        <v/>
      </c>
      <c r="K671" s="69">
        <f>IF(H671="","",COUNTIFS($A$7:$A$1006,A671,$C$7:$C$1006,"&gt;0")-H671)</f>
        <v/>
      </c>
      <c r="L671" s="69">
        <f>IF(H671="","",A671&amp;"|"&amp;H671)</f>
        <v/>
      </c>
      <c r="M671" s="69">
        <f>IF(A671="","",IFERROR(INDEX(Bestand!$AC$14:$AC$213,MATCH(A671,Bestand!$A$14:$A$213,0)),0))</f>
        <v/>
      </c>
      <c r="N671" s="69">
        <f>IF(OR(H671="",M671&lt;&gt;1),"",C671+ROW()/100000)</f>
        <v/>
      </c>
    </row>
    <row r="672" ht="20" customHeight="1">
      <c r="A672" s="60" t="n"/>
      <c r="B672" s="65">
        <f>IF(A672="","",IFERROR(INDEX(Bestand!$B$14:$B$213,MATCH(A672,Bestand!$A$14:$A$213,0)),"ID unbekannt"))</f>
        <v/>
      </c>
      <c r="C672" s="63" t="n"/>
      <c r="D672" s="62" t="n"/>
      <c r="E672" s="60" t="n"/>
      <c r="F672" s="60" t="n"/>
      <c r="G672" s="61" t="n"/>
      <c r="H672" s="69">
        <f>IF(OR(A672="",C672=""),"",COUNTIFS($A$7:$A$1006,A672,$C$7:$C$1006,"&lt;"&amp;C672)+1)</f>
        <v/>
      </c>
      <c r="I672" s="67">
        <f>IF(H672="","",IF(H672=1,"",C672-_xlfn.MAXIFS($C$7:$C$1006,$A$7:$A$1006,A672,$C$7:$C$1006,"&lt;"&amp;C672)))</f>
        <v/>
      </c>
      <c r="J672" s="68">
        <f>IF(I672="","",I672/TpM)</f>
        <v/>
      </c>
      <c r="K672" s="69">
        <f>IF(H672="","",COUNTIFS($A$7:$A$1006,A672,$C$7:$C$1006,"&gt;0")-H672)</f>
        <v/>
      </c>
      <c r="L672" s="69">
        <f>IF(H672="","",A672&amp;"|"&amp;H672)</f>
        <v/>
      </c>
      <c r="M672" s="69">
        <f>IF(A672="","",IFERROR(INDEX(Bestand!$AC$14:$AC$213,MATCH(A672,Bestand!$A$14:$A$213,0)),0))</f>
        <v/>
      </c>
      <c r="N672" s="69">
        <f>IF(OR(H672="",M672&lt;&gt;1),"",C672+ROW()/100000)</f>
        <v/>
      </c>
    </row>
    <row r="673" ht="20" customHeight="1">
      <c r="A673" s="60" t="n"/>
      <c r="B673" s="65">
        <f>IF(A673="","",IFERROR(INDEX(Bestand!$B$14:$B$213,MATCH(A673,Bestand!$A$14:$A$213,0)),"ID unbekannt"))</f>
        <v/>
      </c>
      <c r="C673" s="63" t="n"/>
      <c r="D673" s="62" t="n"/>
      <c r="E673" s="60" t="n"/>
      <c r="F673" s="60" t="n"/>
      <c r="G673" s="61" t="n"/>
      <c r="H673" s="69">
        <f>IF(OR(A673="",C673=""),"",COUNTIFS($A$7:$A$1006,A673,$C$7:$C$1006,"&lt;"&amp;C673)+1)</f>
        <v/>
      </c>
      <c r="I673" s="67">
        <f>IF(H673="","",IF(H673=1,"",C673-_xlfn.MAXIFS($C$7:$C$1006,$A$7:$A$1006,A673,$C$7:$C$1006,"&lt;"&amp;C673)))</f>
        <v/>
      </c>
      <c r="J673" s="68">
        <f>IF(I673="","",I673/TpM)</f>
        <v/>
      </c>
      <c r="K673" s="69">
        <f>IF(H673="","",COUNTIFS($A$7:$A$1006,A673,$C$7:$C$1006,"&gt;0")-H673)</f>
        <v/>
      </c>
      <c r="L673" s="69">
        <f>IF(H673="","",A673&amp;"|"&amp;H673)</f>
        <v/>
      </c>
      <c r="M673" s="69">
        <f>IF(A673="","",IFERROR(INDEX(Bestand!$AC$14:$AC$213,MATCH(A673,Bestand!$A$14:$A$213,0)),0))</f>
        <v/>
      </c>
      <c r="N673" s="69">
        <f>IF(OR(H673="",M673&lt;&gt;1),"",C673+ROW()/100000)</f>
        <v/>
      </c>
    </row>
    <row r="674" ht="20" customHeight="1">
      <c r="A674" s="60" t="n"/>
      <c r="B674" s="65">
        <f>IF(A674="","",IFERROR(INDEX(Bestand!$B$14:$B$213,MATCH(A674,Bestand!$A$14:$A$213,0)),"ID unbekannt"))</f>
        <v/>
      </c>
      <c r="C674" s="63" t="n"/>
      <c r="D674" s="62" t="n"/>
      <c r="E674" s="60" t="n"/>
      <c r="F674" s="60" t="n"/>
      <c r="G674" s="61" t="n"/>
      <c r="H674" s="69">
        <f>IF(OR(A674="",C674=""),"",COUNTIFS($A$7:$A$1006,A674,$C$7:$C$1006,"&lt;"&amp;C674)+1)</f>
        <v/>
      </c>
      <c r="I674" s="67">
        <f>IF(H674="","",IF(H674=1,"",C674-_xlfn.MAXIFS($C$7:$C$1006,$A$7:$A$1006,A674,$C$7:$C$1006,"&lt;"&amp;C674)))</f>
        <v/>
      </c>
      <c r="J674" s="68">
        <f>IF(I674="","",I674/TpM)</f>
        <v/>
      </c>
      <c r="K674" s="69">
        <f>IF(H674="","",COUNTIFS($A$7:$A$1006,A674,$C$7:$C$1006,"&gt;0")-H674)</f>
        <v/>
      </c>
      <c r="L674" s="69">
        <f>IF(H674="","",A674&amp;"|"&amp;H674)</f>
        <v/>
      </c>
      <c r="M674" s="69">
        <f>IF(A674="","",IFERROR(INDEX(Bestand!$AC$14:$AC$213,MATCH(A674,Bestand!$A$14:$A$213,0)),0))</f>
        <v/>
      </c>
      <c r="N674" s="69">
        <f>IF(OR(H674="",M674&lt;&gt;1),"",C674+ROW()/100000)</f>
        <v/>
      </c>
    </row>
    <row r="675" ht="20" customHeight="1">
      <c r="A675" s="60" t="n"/>
      <c r="B675" s="65">
        <f>IF(A675="","",IFERROR(INDEX(Bestand!$B$14:$B$213,MATCH(A675,Bestand!$A$14:$A$213,0)),"ID unbekannt"))</f>
        <v/>
      </c>
      <c r="C675" s="63" t="n"/>
      <c r="D675" s="62" t="n"/>
      <c r="E675" s="60" t="n"/>
      <c r="F675" s="60" t="n"/>
      <c r="G675" s="61" t="n"/>
      <c r="H675" s="69">
        <f>IF(OR(A675="",C675=""),"",COUNTIFS($A$7:$A$1006,A675,$C$7:$C$1006,"&lt;"&amp;C675)+1)</f>
        <v/>
      </c>
      <c r="I675" s="67">
        <f>IF(H675="","",IF(H675=1,"",C675-_xlfn.MAXIFS($C$7:$C$1006,$A$7:$A$1006,A675,$C$7:$C$1006,"&lt;"&amp;C675)))</f>
        <v/>
      </c>
      <c r="J675" s="68">
        <f>IF(I675="","",I675/TpM)</f>
        <v/>
      </c>
      <c r="K675" s="69">
        <f>IF(H675="","",COUNTIFS($A$7:$A$1006,A675,$C$7:$C$1006,"&gt;0")-H675)</f>
        <v/>
      </c>
      <c r="L675" s="69">
        <f>IF(H675="","",A675&amp;"|"&amp;H675)</f>
        <v/>
      </c>
      <c r="M675" s="69">
        <f>IF(A675="","",IFERROR(INDEX(Bestand!$AC$14:$AC$213,MATCH(A675,Bestand!$A$14:$A$213,0)),0))</f>
        <v/>
      </c>
      <c r="N675" s="69">
        <f>IF(OR(H675="",M675&lt;&gt;1),"",C675+ROW()/100000)</f>
        <v/>
      </c>
    </row>
    <row r="676" ht="20" customHeight="1">
      <c r="A676" s="60" t="n"/>
      <c r="B676" s="65">
        <f>IF(A676="","",IFERROR(INDEX(Bestand!$B$14:$B$213,MATCH(A676,Bestand!$A$14:$A$213,0)),"ID unbekannt"))</f>
        <v/>
      </c>
      <c r="C676" s="63" t="n"/>
      <c r="D676" s="62" t="n"/>
      <c r="E676" s="60" t="n"/>
      <c r="F676" s="60" t="n"/>
      <c r="G676" s="61" t="n"/>
      <c r="H676" s="69">
        <f>IF(OR(A676="",C676=""),"",COUNTIFS($A$7:$A$1006,A676,$C$7:$C$1006,"&lt;"&amp;C676)+1)</f>
        <v/>
      </c>
      <c r="I676" s="67">
        <f>IF(H676="","",IF(H676=1,"",C676-_xlfn.MAXIFS($C$7:$C$1006,$A$7:$A$1006,A676,$C$7:$C$1006,"&lt;"&amp;C676)))</f>
        <v/>
      </c>
      <c r="J676" s="68">
        <f>IF(I676="","",I676/TpM)</f>
        <v/>
      </c>
      <c r="K676" s="69">
        <f>IF(H676="","",COUNTIFS($A$7:$A$1006,A676,$C$7:$C$1006,"&gt;0")-H676)</f>
        <v/>
      </c>
      <c r="L676" s="69">
        <f>IF(H676="","",A676&amp;"|"&amp;H676)</f>
        <v/>
      </c>
      <c r="M676" s="69">
        <f>IF(A676="","",IFERROR(INDEX(Bestand!$AC$14:$AC$213,MATCH(A676,Bestand!$A$14:$A$213,0)),0))</f>
        <v/>
      </c>
      <c r="N676" s="69">
        <f>IF(OR(H676="",M676&lt;&gt;1),"",C676+ROW()/100000)</f>
        <v/>
      </c>
    </row>
    <row r="677" ht="20" customHeight="1">
      <c r="A677" s="60" t="n"/>
      <c r="B677" s="65">
        <f>IF(A677="","",IFERROR(INDEX(Bestand!$B$14:$B$213,MATCH(A677,Bestand!$A$14:$A$213,0)),"ID unbekannt"))</f>
        <v/>
      </c>
      <c r="C677" s="63" t="n"/>
      <c r="D677" s="62" t="n"/>
      <c r="E677" s="60" t="n"/>
      <c r="F677" s="60" t="n"/>
      <c r="G677" s="61" t="n"/>
      <c r="H677" s="69">
        <f>IF(OR(A677="",C677=""),"",COUNTIFS($A$7:$A$1006,A677,$C$7:$C$1006,"&lt;"&amp;C677)+1)</f>
        <v/>
      </c>
      <c r="I677" s="67">
        <f>IF(H677="","",IF(H677=1,"",C677-_xlfn.MAXIFS($C$7:$C$1006,$A$7:$A$1006,A677,$C$7:$C$1006,"&lt;"&amp;C677)))</f>
        <v/>
      </c>
      <c r="J677" s="68">
        <f>IF(I677="","",I677/TpM)</f>
        <v/>
      </c>
      <c r="K677" s="69">
        <f>IF(H677="","",COUNTIFS($A$7:$A$1006,A677,$C$7:$C$1006,"&gt;0")-H677)</f>
        <v/>
      </c>
      <c r="L677" s="69">
        <f>IF(H677="","",A677&amp;"|"&amp;H677)</f>
        <v/>
      </c>
      <c r="M677" s="69">
        <f>IF(A677="","",IFERROR(INDEX(Bestand!$AC$14:$AC$213,MATCH(A677,Bestand!$A$14:$A$213,0)),0))</f>
        <v/>
      </c>
      <c r="N677" s="69">
        <f>IF(OR(H677="",M677&lt;&gt;1),"",C677+ROW()/100000)</f>
        <v/>
      </c>
    </row>
    <row r="678" ht="20" customHeight="1">
      <c r="A678" s="60" t="n"/>
      <c r="B678" s="65">
        <f>IF(A678="","",IFERROR(INDEX(Bestand!$B$14:$B$213,MATCH(A678,Bestand!$A$14:$A$213,0)),"ID unbekannt"))</f>
        <v/>
      </c>
      <c r="C678" s="63" t="n"/>
      <c r="D678" s="62" t="n"/>
      <c r="E678" s="60" t="n"/>
      <c r="F678" s="60" t="n"/>
      <c r="G678" s="61" t="n"/>
      <c r="H678" s="69">
        <f>IF(OR(A678="",C678=""),"",COUNTIFS($A$7:$A$1006,A678,$C$7:$C$1006,"&lt;"&amp;C678)+1)</f>
        <v/>
      </c>
      <c r="I678" s="67">
        <f>IF(H678="","",IF(H678=1,"",C678-_xlfn.MAXIFS($C$7:$C$1006,$A$7:$A$1006,A678,$C$7:$C$1006,"&lt;"&amp;C678)))</f>
        <v/>
      </c>
      <c r="J678" s="68">
        <f>IF(I678="","",I678/TpM)</f>
        <v/>
      </c>
      <c r="K678" s="69">
        <f>IF(H678="","",COUNTIFS($A$7:$A$1006,A678,$C$7:$C$1006,"&gt;0")-H678)</f>
        <v/>
      </c>
      <c r="L678" s="69">
        <f>IF(H678="","",A678&amp;"|"&amp;H678)</f>
        <v/>
      </c>
      <c r="M678" s="69">
        <f>IF(A678="","",IFERROR(INDEX(Bestand!$AC$14:$AC$213,MATCH(A678,Bestand!$A$14:$A$213,0)),0))</f>
        <v/>
      </c>
      <c r="N678" s="69">
        <f>IF(OR(H678="",M678&lt;&gt;1),"",C678+ROW()/100000)</f>
        <v/>
      </c>
    </row>
    <row r="679" ht="20" customHeight="1">
      <c r="A679" s="60" t="n"/>
      <c r="B679" s="65">
        <f>IF(A679="","",IFERROR(INDEX(Bestand!$B$14:$B$213,MATCH(A679,Bestand!$A$14:$A$213,0)),"ID unbekannt"))</f>
        <v/>
      </c>
      <c r="C679" s="63" t="n"/>
      <c r="D679" s="62" t="n"/>
      <c r="E679" s="60" t="n"/>
      <c r="F679" s="60" t="n"/>
      <c r="G679" s="61" t="n"/>
      <c r="H679" s="69">
        <f>IF(OR(A679="",C679=""),"",COUNTIFS($A$7:$A$1006,A679,$C$7:$C$1006,"&lt;"&amp;C679)+1)</f>
        <v/>
      </c>
      <c r="I679" s="67">
        <f>IF(H679="","",IF(H679=1,"",C679-_xlfn.MAXIFS($C$7:$C$1006,$A$7:$A$1006,A679,$C$7:$C$1006,"&lt;"&amp;C679)))</f>
        <v/>
      </c>
      <c r="J679" s="68">
        <f>IF(I679="","",I679/TpM)</f>
        <v/>
      </c>
      <c r="K679" s="69">
        <f>IF(H679="","",COUNTIFS($A$7:$A$1006,A679,$C$7:$C$1006,"&gt;0")-H679)</f>
        <v/>
      </c>
      <c r="L679" s="69">
        <f>IF(H679="","",A679&amp;"|"&amp;H679)</f>
        <v/>
      </c>
      <c r="M679" s="69">
        <f>IF(A679="","",IFERROR(INDEX(Bestand!$AC$14:$AC$213,MATCH(A679,Bestand!$A$14:$A$213,0)),0))</f>
        <v/>
      </c>
      <c r="N679" s="69">
        <f>IF(OR(H679="",M679&lt;&gt;1),"",C679+ROW()/100000)</f>
        <v/>
      </c>
    </row>
    <row r="680" ht="20" customHeight="1">
      <c r="A680" s="60" t="n"/>
      <c r="B680" s="65">
        <f>IF(A680="","",IFERROR(INDEX(Bestand!$B$14:$B$213,MATCH(A680,Bestand!$A$14:$A$213,0)),"ID unbekannt"))</f>
        <v/>
      </c>
      <c r="C680" s="63" t="n"/>
      <c r="D680" s="62" t="n"/>
      <c r="E680" s="60" t="n"/>
      <c r="F680" s="60" t="n"/>
      <c r="G680" s="61" t="n"/>
      <c r="H680" s="69">
        <f>IF(OR(A680="",C680=""),"",COUNTIFS($A$7:$A$1006,A680,$C$7:$C$1006,"&lt;"&amp;C680)+1)</f>
        <v/>
      </c>
      <c r="I680" s="67">
        <f>IF(H680="","",IF(H680=1,"",C680-_xlfn.MAXIFS($C$7:$C$1006,$A$7:$A$1006,A680,$C$7:$C$1006,"&lt;"&amp;C680)))</f>
        <v/>
      </c>
      <c r="J680" s="68">
        <f>IF(I680="","",I680/TpM)</f>
        <v/>
      </c>
      <c r="K680" s="69">
        <f>IF(H680="","",COUNTIFS($A$7:$A$1006,A680,$C$7:$C$1006,"&gt;0")-H680)</f>
        <v/>
      </c>
      <c r="L680" s="69">
        <f>IF(H680="","",A680&amp;"|"&amp;H680)</f>
        <v/>
      </c>
      <c r="M680" s="69">
        <f>IF(A680="","",IFERROR(INDEX(Bestand!$AC$14:$AC$213,MATCH(A680,Bestand!$A$14:$A$213,0)),0))</f>
        <v/>
      </c>
      <c r="N680" s="69">
        <f>IF(OR(H680="",M680&lt;&gt;1),"",C680+ROW()/100000)</f>
        <v/>
      </c>
    </row>
    <row r="681" ht="20" customHeight="1">
      <c r="A681" s="60" t="n"/>
      <c r="B681" s="65">
        <f>IF(A681="","",IFERROR(INDEX(Bestand!$B$14:$B$213,MATCH(A681,Bestand!$A$14:$A$213,0)),"ID unbekannt"))</f>
        <v/>
      </c>
      <c r="C681" s="63" t="n"/>
      <c r="D681" s="62" t="n"/>
      <c r="E681" s="60" t="n"/>
      <c r="F681" s="60" t="n"/>
      <c r="G681" s="61" t="n"/>
      <c r="H681" s="69">
        <f>IF(OR(A681="",C681=""),"",COUNTIFS($A$7:$A$1006,A681,$C$7:$C$1006,"&lt;"&amp;C681)+1)</f>
        <v/>
      </c>
      <c r="I681" s="67">
        <f>IF(H681="","",IF(H681=1,"",C681-_xlfn.MAXIFS($C$7:$C$1006,$A$7:$A$1006,A681,$C$7:$C$1006,"&lt;"&amp;C681)))</f>
        <v/>
      </c>
      <c r="J681" s="68">
        <f>IF(I681="","",I681/TpM)</f>
        <v/>
      </c>
      <c r="K681" s="69">
        <f>IF(H681="","",COUNTIFS($A$7:$A$1006,A681,$C$7:$C$1006,"&gt;0")-H681)</f>
        <v/>
      </c>
      <c r="L681" s="69">
        <f>IF(H681="","",A681&amp;"|"&amp;H681)</f>
        <v/>
      </c>
      <c r="M681" s="69">
        <f>IF(A681="","",IFERROR(INDEX(Bestand!$AC$14:$AC$213,MATCH(A681,Bestand!$A$14:$A$213,0)),0))</f>
        <v/>
      </c>
      <c r="N681" s="69">
        <f>IF(OR(H681="",M681&lt;&gt;1),"",C681+ROW()/100000)</f>
        <v/>
      </c>
    </row>
    <row r="682" ht="20" customHeight="1">
      <c r="A682" s="60" t="n"/>
      <c r="B682" s="65">
        <f>IF(A682="","",IFERROR(INDEX(Bestand!$B$14:$B$213,MATCH(A682,Bestand!$A$14:$A$213,0)),"ID unbekannt"))</f>
        <v/>
      </c>
      <c r="C682" s="63" t="n"/>
      <c r="D682" s="62" t="n"/>
      <c r="E682" s="60" t="n"/>
      <c r="F682" s="60" t="n"/>
      <c r="G682" s="61" t="n"/>
      <c r="H682" s="69">
        <f>IF(OR(A682="",C682=""),"",COUNTIFS($A$7:$A$1006,A682,$C$7:$C$1006,"&lt;"&amp;C682)+1)</f>
        <v/>
      </c>
      <c r="I682" s="67">
        <f>IF(H682="","",IF(H682=1,"",C682-_xlfn.MAXIFS($C$7:$C$1006,$A$7:$A$1006,A682,$C$7:$C$1006,"&lt;"&amp;C682)))</f>
        <v/>
      </c>
      <c r="J682" s="68">
        <f>IF(I682="","",I682/TpM)</f>
        <v/>
      </c>
      <c r="K682" s="69">
        <f>IF(H682="","",COUNTIFS($A$7:$A$1006,A682,$C$7:$C$1006,"&gt;0")-H682)</f>
        <v/>
      </c>
      <c r="L682" s="69">
        <f>IF(H682="","",A682&amp;"|"&amp;H682)</f>
        <v/>
      </c>
      <c r="M682" s="69">
        <f>IF(A682="","",IFERROR(INDEX(Bestand!$AC$14:$AC$213,MATCH(A682,Bestand!$A$14:$A$213,0)),0))</f>
        <v/>
      </c>
      <c r="N682" s="69">
        <f>IF(OR(H682="",M682&lt;&gt;1),"",C682+ROW()/100000)</f>
        <v/>
      </c>
    </row>
    <row r="683" ht="20" customHeight="1">
      <c r="A683" s="60" t="n"/>
      <c r="B683" s="65">
        <f>IF(A683="","",IFERROR(INDEX(Bestand!$B$14:$B$213,MATCH(A683,Bestand!$A$14:$A$213,0)),"ID unbekannt"))</f>
        <v/>
      </c>
      <c r="C683" s="63" t="n"/>
      <c r="D683" s="62" t="n"/>
      <c r="E683" s="60" t="n"/>
      <c r="F683" s="60" t="n"/>
      <c r="G683" s="61" t="n"/>
      <c r="H683" s="69">
        <f>IF(OR(A683="",C683=""),"",COUNTIFS($A$7:$A$1006,A683,$C$7:$C$1006,"&lt;"&amp;C683)+1)</f>
        <v/>
      </c>
      <c r="I683" s="67">
        <f>IF(H683="","",IF(H683=1,"",C683-_xlfn.MAXIFS($C$7:$C$1006,$A$7:$A$1006,A683,$C$7:$C$1006,"&lt;"&amp;C683)))</f>
        <v/>
      </c>
      <c r="J683" s="68">
        <f>IF(I683="","",I683/TpM)</f>
        <v/>
      </c>
      <c r="K683" s="69">
        <f>IF(H683="","",COUNTIFS($A$7:$A$1006,A683,$C$7:$C$1006,"&gt;0")-H683)</f>
        <v/>
      </c>
      <c r="L683" s="69">
        <f>IF(H683="","",A683&amp;"|"&amp;H683)</f>
        <v/>
      </c>
      <c r="M683" s="69">
        <f>IF(A683="","",IFERROR(INDEX(Bestand!$AC$14:$AC$213,MATCH(A683,Bestand!$A$14:$A$213,0)),0))</f>
        <v/>
      </c>
      <c r="N683" s="69">
        <f>IF(OR(H683="",M683&lt;&gt;1),"",C683+ROW()/100000)</f>
        <v/>
      </c>
    </row>
    <row r="684" ht="20" customHeight="1">
      <c r="A684" s="60" t="n"/>
      <c r="B684" s="65">
        <f>IF(A684="","",IFERROR(INDEX(Bestand!$B$14:$B$213,MATCH(A684,Bestand!$A$14:$A$213,0)),"ID unbekannt"))</f>
        <v/>
      </c>
      <c r="C684" s="63" t="n"/>
      <c r="D684" s="62" t="n"/>
      <c r="E684" s="60" t="n"/>
      <c r="F684" s="60" t="n"/>
      <c r="G684" s="61" t="n"/>
      <c r="H684" s="69">
        <f>IF(OR(A684="",C684=""),"",COUNTIFS($A$7:$A$1006,A684,$C$7:$C$1006,"&lt;"&amp;C684)+1)</f>
        <v/>
      </c>
      <c r="I684" s="67">
        <f>IF(H684="","",IF(H684=1,"",C684-_xlfn.MAXIFS($C$7:$C$1006,$A$7:$A$1006,A684,$C$7:$C$1006,"&lt;"&amp;C684)))</f>
        <v/>
      </c>
      <c r="J684" s="68">
        <f>IF(I684="","",I684/TpM)</f>
        <v/>
      </c>
      <c r="K684" s="69">
        <f>IF(H684="","",COUNTIFS($A$7:$A$1006,A684,$C$7:$C$1006,"&gt;0")-H684)</f>
        <v/>
      </c>
      <c r="L684" s="69">
        <f>IF(H684="","",A684&amp;"|"&amp;H684)</f>
        <v/>
      </c>
      <c r="M684" s="69">
        <f>IF(A684="","",IFERROR(INDEX(Bestand!$AC$14:$AC$213,MATCH(A684,Bestand!$A$14:$A$213,0)),0))</f>
        <v/>
      </c>
      <c r="N684" s="69">
        <f>IF(OR(H684="",M684&lt;&gt;1),"",C684+ROW()/100000)</f>
        <v/>
      </c>
    </row>
    <row r="685" ht="20" customHeight="1">
      <c r="A685" s="60" t="n"/>
      <c r="B685" s="65">
        <f>IF(A685="","",IFERROR(INDEX(Bestand!$B$14:$B$213,MATCH(A685,Bestand!$A$14:$A$213,0)),"ID unbekannt"))</f>
        <v/>
      </c>
      <c r="C685" s="63" t="n"/>
      <c r="D685" s="62" t="n"/>
      <c r="E685" s="60" t="n"/>
      <c r="F685" s="60" t="n"/>
      <c r="G685" s="61" t="n"/>
      <c r="H685" s="69">
        <f>IF(OR(A685="",C685=""),"",COUNTIFS($A$7:$A$1006,A685,$C$7:$C$1006,"&lt;"&amp;C685)+1)</f>
        <v/>
      </c>
      <c r="I685" s="67">
        <f>IF(H685="","",IF(H685=1,"",C685-_xlfn.MAXIFS($C$7:$C$1006,$A$7:$A$1006,A685,$C$7:$C$1006,"&lt;"&amp;C685)))</f>
        <v/>
      </c>
      <c r="J685" s="68">
        <f>IF(I685="","",I685/TpM)</f>
        <v/>
      </c>
      <c r="K685" s="69">
        <f>IF(H685="","",COUNTIFS($A$7:$A$1006,A685,$C$7:$C$1006,"&gt;0")-H685)</f>
        <v/>
      </c>
      <c r="L685" s="69">
        <f>IF(H685="","",A685&amp;"|"&amp;H685)</f>
        <v/>
      </c>
      <c r="M685" s="69">
        <f>IF(A685="","",IFERROR(INDEX(Bestand!$AC$14:$AC$213,MATCH(A685,Bestand!$A$14:$A$213,0)),0))</f>
        <v/>
      </c>
      <c r="N685" s="69">
        <f>IF(OR(H685="",M685&lt;&gt;1),"",C685+ROW()/100000)</f>
        <v/>
      </c>
    </row>
    <row r="686" ht="20" customHeight="1">
      <c r="A686" s="60" t="n"/>
      <c r="B686" s="65">
        <f>IF(A686="","",IFERROR(INDEX(Bestand!$B$14:$B$213,MATCH(A686,Bestand!$A$14:$A$213,0)),"ID unbekannt"))</f>
        <v/>
      </c>
      <c r="C686" s="63" t="n"/>
      <c r="D686" s="62" t="n"/>
      <c r="E686" s="60" t="n"/>
      <c r="F686" s="60" t="n"/>
      <c r="G686" s="61" t="n"/>
      <c r="H686" s="69">
        <f>IF(OR(A686="",C686=""),"",COUNTIFS($A$7:$A$1006,A686,$C$7:$C$1006,"&lt;"&amp;C686)+1)</f>
        <v/>
      </c>
      <c r="I686" s="67">
        <f>IF(H686="","",IF(H686=1,"",C686-_xlfn.MAXIFS($C$7:$C$1006,$A$7:$A$1006,A686,$C$7:$C$1006,"&lt;"&amp;C686)))</f>
        <v/>
      </c>
      <c r="J686" s="68">
        <f>IF(I686="","",I686/TpM)</f>
        <v/>
      </c>
      <c r="K686" s="69">
        <f>IF(H686="","",COUNTIFS($A$7:$A$1006,A686,$C$7:$C$1006,"&gt;0")-H686)</f>
        <v/>
      </c>
      <c r="L686" s="69">
        <f>IF(H686="","",A686&amp;"|"&amp;H686)</f>
        <v/>
      </c>
      <c r="M686" s="69">
        <f>IF(A686="","",IFERROR(INDEX(Bestand!$AC$14:$AC$213,MATCH(A686,Bestand!$A$14:$A$213,0)),0))</f>
        <v/>
      </c>
      <c r="N686" s="69">
        <f>IF(OR(H686="",M686&lt;&gt;1),"",C686+ROW()/100000)</f>
        <v/>
      </c>
    </row>
    <row r="687" ht="20" customHeight="1">
      <c r="A687" s="60" t="n"/>
      <c r="B687" s="65">
        <f>IF(A687="","",IFERROR(INDEX(Bestand!$B$14:$B$213,MATCH(A687,Bestand!$A$14:$A$213,0)),"ID unbekannt"))</f>
        <v/>
      </c>
      <c r="C687" s="63" t="n"/>
      <c r="D687" s="62" t="n"/>
      <c r="E687" s="60" t="n"/>
      <c r="F687" s="60" t="n"/>
      <c r="G687" s="61" t="n"/>
      <c r="H687" s="69">
        <f>IF(OR(A687="",C687=""),"",COUNTIFS($A$7:$A$1006,A687,$C$7:$C$1006,"&lt;"&amp;C687)+1)</f>
        <v/>
      </c>
      <c r="I687" s="67">
        <f>IF(H687="","",IF(H687=1,"",C687-_xlfn.MAXIFS($C$7:$C$1006,$A$7:$A$1006,A687,$C$7:$C$1006,"&lt;"&amp;C687)))</f>
        <v/>
      </c>
      <c r="J687" s="68">
        <f>IF(I687="","",I687/TpM)</f>
        <v/>
      </c>
      <c r="K687" s="69">
        <f>IF(H687="","",COUNTIFS($A$7:$A$1006,A687,$C$7:$C$1006,"&gt;0")-H687)</f>
        <v/>
      </c>
      <c r="L687" s="69">
        <f>IF(H687="","",A687&amp;"|"&amp;H687)</f>
        <v/>
      </c>
      <c r="M687" s="69">
        <f>IF(A687="","",IFERROR(INDEX(Bestand!$AC$14:$AC$213,MATCH(A687,Bestand!$A$14:$A$213,0)),0))</f>
        <v/>
      </c>
      <c r="N687" s="69">
        <f>IF(OR(H687="",M687&lt;&gt;1),"",C687+ROW()/100000)</f>
        <v/>
      </c>
    </row>
    <row r="688" ht="20" customHeight="1">
      <c r="A688" s="60" t="n"/>
      <c r="B688" s="65">
        <f>IF(A688="","",IFERROR(INDEX(Bestand!$B$14:$B$213,MATCH(A688,Bestand!$A$14:$A$213,0)),"ID unbekannt"))</f>
        <v/>
      </c>
      <c r="C688" s="63" t="n"/>
      <c r="D688" s="62" t="n"/>
      <c r="E688" s="60" t="n"/>
      <c r="F688" s="60" t="n"/>
      <c r="G688" s="61" t="n"/>
      <c r="H688" s="69">
        <f>IF(OR(A688="",C688=""),"",COUNTIFS($A$7:$A$1006,A688,$C$7:$C$1006,"&lt;"&amp;C688)+1)</f>
        <v/>
      </c>
      <c r="I688" s="67">
        <f>IF(H688="","",IF(H688=1,"",C688-_xlfn.MAXIFS($C$7:$C$1006,$A$7:$A$1006,A688,$C$7:$C$1006,"&lt;"&amp;C688)))</f>
        <v/>
      </c>
      <c r="J688" s="68">
        <f>IF(I688="","",I688/TpM)</f>
        <v/>
      </c>
      <c r="K688" s="69">
        <f>IF(H688="","",COUNTIFS($A$7:$A$1006,A688,$C$7:$C$1006,"&gt;0")-H688)</f>
        <v/>
      </c>
      <c r="L688" s="69">
        <f>IF(H688="","",A688&amp;"|"&amp;H688)</f>
        <v/>
      </c>
      <c r="M688" s="69">
        <f>IF(A688="","",IFERROR(INDEX(Bestand!$AC$14:$AC$213,MATCH(A688,Bestand!$A$14:$A$213,0)),0))</f>
        <v/>
      </c>
      <c r="N688" s="69">
        <f>IF(OR(H688="",M688&lt;&gt;1),"",C688+ROW()/100000)</f>
        <v/>
      </c>
    </row>
    <row r="689" ht="20" customHeight="1">
      <c r="A689" s="60" t="n"/>
      <c r="B689" s="65">
        <f>IF(A689="","",IFERROR(INDEX(Bestand!$B$14:$B$213,MATCH(A689,Bestand!$A$14:$A$213,0)),"ID unbekannt"))</f>
        <v/>
      </c>
      <c r="C689" s="63" t="n"/>
      <c r="D689" s="62" t="n"/>
      <c r="E689" s="60" t="n"/>
      <c r="F689" s="60" t="n"/>
      <c r="G689" s="61" t="n"/>
      <c r="H689" s="69">
        <f>IF(OR(A689="",C689=""),"",COUNTIFS($A$7:$A$1006,A689,$C$7:$C$1006,"&lt;"&amp;C689)+1)</f>
        <v/>
      </c>
      <c r="I689" s="67">
        <f>IF(H689="","",IF(H689=1,"",C689-_xlfn.MAXIFS($C$7:$C$1006,$A$7:$A$1006,A689,$C$7:$C$1006,"&lt;"&amp;C689)))</f>
        <v/>
      </c>
      <c r="J689" s="68">
        <f>IF(I689="","",I689/TpM)</f>
        <v/>
      </c>
      <c r="K689" s="69">
        <f>IF(H689="","",COUNTIFS($A$7:$A$1006,A689,$C$7:$C$1006,"&gt;0")-H689)</f>
        <v/>
      </c>
      <c r="L689" s="69">
        <f>IF(H689="","",A689&amp;"|"&amp;H689)</f>
        <v/>
      </c>
      <c r="M689" s="69">
        <f>IF(A689="","",IFERROR(INDEX(Bestand!$AC$14:$AC$213,MATCH(A689,Bestand!$A$14:$A$213,0)),0))</f>
        <v/>
      </c>
      <c r="N689" s="69">
        <f>IF(OR(H689="",M689&lt;&gt;1),"",C689+ROW()/100000)</f>
        <v/>
      </c>
    </row>
    <row r="690" ht="20" customHeight="1">
      <c r="A690" s="60" t="n"/>
      <c r="B690" s="65">
        <f>IF(A690="","",IFERROR(INDEX(Bestand!$B$14:$B$213,MATCH(A690,Bestand!$A$14:$A$213,0)),"ID unbekannt"))</f>
        <v/>
      </c>
      <c r="C690" s="63" t="n"/>
      <c r="D690" s="62" t="n"/>
      <c r="E690" s="60" t="n"/>
      <c r="F690" s="60" t="n"/>
      <c r="G690" s="61" t="n"/>
      <c r="H690" s="69">
        <f>IF(OR(A690="",C690=""),"",COUNTIFS($A$7:$A$1006,A690,$C$7:$C$1006,"&lt;"&amp;C690)+1)</f>
        <v/>
      </c>
      <c r="I690" s="67">
        <f>IF(H690="","",IF(H690=1,"",C690-_xlfn.MAXIFS($C$7:$C$1006,$A$7:$A$1006,A690,$C$7:$C$1006,"&lt;"&amp;C690)))</f>
        <v/>
      </c>
      <c r="J690" s="68">
        <f>IF(I690="","",I690/TpM)</f>
        <v/>
      </c>
      <c r="K690" s="69">
        <f>IF(H690="","",COUNTIFS($A$7:$A$1006,A690,$C$7:$C$1006,"&gt;0")-H690)</f>
        <v/>
      </c>
      <c r="L690" s="69">
        <f>IF(H690="","",A690&amp;"|"&amp;H690)</f>
        <v/>
      </c>
      <c r="M690" s="69">
        <f>IF(A690="","",IFERROR(INDEX(Bestand!$AC$14:$AC$213,MATCH(A690,Bestand!$A$14:$A$213,0)),0))</f>
        <v/>
      </c>
      <c r="N690" s="69">
        <f>IF(OR(H690="",M690&lt;&gt;1),"",C690+ROW()/100000)</f>
        <v/>
      </c>
    </row>
    <row r="691" ht="20" customHeight="1">
      <c r="A691" s="60" t="n"/>
      <c r="B691" s="65">
        <f>IF(A691="","",IFERROR(INDEX(Bestand!$B$14:$B$213,MATCH(A691,Bestand!$A$14:$A$213,0)),"ID unbekannt"))</f>
        <v/>
      </c>
      <c r="C691" s="63" t="n"/>
      <c r="D691" s="62" t="n"/>
      <c r="E691" s="60" t="n"/>
      <c r="F691" s="60" t="n"/>
      <c r="G691" s="61" t="n"/>
      <c r="H691" s="69">
        <f>IF(OR(A691="",C691=""),"",COUNTIFS($A$7:$A$1006,A691,$C$7:$C$1006,"&lt;"&amp;C691)+1)</f>
        <v/>
      </c>
      <c r="I691" s="67">
        <f>IF(H691="","",IF(H691=1,"",C691-_xlfn.MAXIFS($C$7:$C$1006,$A$7:$A$1006,A691,$C$7:$C$1006,"&lt;"&amp;C691)))</f>
        <v/>
      </c>
      <c r="J691" s="68">
        <f>IF(I691="","",I691/TpM)</f>
        <v/>
      </c>
      <c r="K691" s="69">
        <f>IF(H691="","",COUNTIFS($A$7:$A$1006,A691,$C$7:$C$1006,"&gt;0")-H691)</f>
        <v/>
      </c>
      <c r="L691" s="69">
        <f>IF(H691="","",A691&amp;"|"&amp;H691)</f>
        <v/>
      </c>
      <c r="M691" s="69">
        <f>IF(A691="","",IFERROR(INDEX(Bestand!$AC$14:$AC$213,MATCH(A691,Bestand!$A$14:$A$213,0)),0))</f>
        <v/>
      </c>
      <c r="N691" s="69">
        <f>IF(OR(H691="",M691&lt;&gt;1),"",C691+ROW()/100000)</f>
        <v/>
      </c>
    </row>
    <row r="692" ht="20" customHeight="1">
      <c r="A692" s="60" t="n"/>
      <c r="B692" s="65">
        <f>IF(A692="","",IFERROR(INDEX(Bestand!$B$14:$B$213,MATCH(A692,Bestand!$A$14:$A$213,0)),"ID unbekannt"))</f>
        <v/>
      </c>
      <c r="C692" s="63" t="n"/>
      <c r="D692" s="62" t="n"/>
      <c r="E692" s="60" t="n"/>
      <c r="F692" s="60" t="n"/>
      <c r="G692" s="61" t="n"/>
      <c r="H692" s="69">
        <f>IF(OR(A692="",C692=""),"",COUNTIFS($A$7:$A$1006,A692,$C$7:$C$1006,"&lt;"&amp;C692)+1)</f>
        <v/>
      </c>
      <c r="I692" s="67">
        <f>IF(H692="","",IF(H692=1,"",C692-_xlfn.MAXIFS($C$7:$C$1006,$A$7:$A$1006,A692,$C$7:$C$1006,"&lt;"&amp;C692)))</f>
        <v/>
      </c>
      <c r="J692" s="68">
        <f>IF(I692="","",I692/TpM)</f>
        <v/>
      </c>
      <c r="K692" s="69">
        <f>IF(H692="","",COUNTIFS($A$7:$A$1006,A692,$C$7:$C$1006,"&gt;0")-H692)</f>
        <v/>
      </c>
      <c r="L692" s="69">
        <f>IF(H692="","",A692&amp;"|"&amp;H692)</f>
        <v/>
      </c>
      <c r="M692" s="69">
        <f>IF(A692="","",IFERROR(INDEX(Bestand!$AC$14:$AC$213,MATCH(A692,Bestand!$A$14:$A$213,0)),0))</f>
        <v/>
      </c>
      <c r="N692" s="69">
        <f>IF(OR(H692="",M692&lt;&gt;1),"",C692+ROW()/100000)</f>
        <v/>
      </c>
    </row>
    <row r="693" ht="20" customHeight="1">
      <c r="A693" s="60" t="n"/>
      <c r="B693" s="65">
        <f>IF(A693="","",IFERROR(INDEX(Bestand!$B$14:$B$213,MATCH(A693,Bestand!$A$14:$A$213,0)),"ID unbekannt"))</f>
        <v/>
      </c>
      <c r="C693" s="63" t="n"/>
      <c r="D693" s="62" t="n"/>
      <c r="E693" s="60" t="n"/>
      <c r="F693" s="60" t="n"/>
      <c r="G693" s="61" t="n"/>
      <c r="H693" s="69">
        <f>IF(OR(A693="",C693=""),"",COUNTIFS($A$7:$A$1006,A693,$C$7:$C$1006,"&lt;"&amp;C693)+1)</f>
        <v/>
      </c>
      <c r="I693" s="67">
        <f>IF(H693="","",IF(H693=1,"",C693-_xlfn.MAXIFS($C$7:$C$1006,$A$7:$A$1006,A693,$C$7:$C$1006,"&lt;"&amp;C693)))</f>
        <v/>
      </c>
      <c r="J693" s="68">
        <f>IF(I693="","",I693/TpM)</f>
        <v/>
      </c>
      <c r="K693" s="69">
        <f>IF(H693="","",COUNTIFS($A$7:$A$1006,A693,$C$7:$C$1006,"&gt;0")-H693)</f>
        <v/>
      </c>
      <c r="L693" s="69">
        <f>IF(H693="","",A693&amp;"|"&amp;H693)</f>
        <v/>
      </c>
      <c r="M693" s="69">
        <f>IF(A693="","",IFERROR(INDEX(Bestand!$AC$14:$AC$213,MATCH(A693,Bestand!$A$14:$A$213,0)),0))</f>
        <v/>
      </c>
      <c r="N693" s="69">
        <f>IF(OR(H693="",M693&lt;&gt;1),"",C693+ROW()/100000)</f>
        <v/>
      </c>
    </row>
    <row r="694" ht="20" customHeight="1">
      <c r="A694" s="60" t="n"/>
      <c r="B694" s="65">
        <f>IF(A694="","",IFERROR(INDEX(Bestand!$B$14:$B$213,MATCH(A694,Bestand!$A$14:$A$213,0)),"ID unbekannt"))</f>
        <v/>
      </c>
      <c r="C694" s="63" t="n"/>
      <c r="D694" s="62" t="n"/>
      <c r="E694" s="60" t="n"/>
      <c r="F694" s="60" t="n"/>
      <c r="G694" s="61" t="n"/>
      <c r="H694" s="69">
        <f>IF(OR(A694="",C694=""),"",COUNTIFS($A$7:$A$1006,A694,$C$7:$C$1006,"&lt;"&amp;C694)+1)</f>
        <v/>
      </c>
      <c r="I694" s="67">
        <f>IF(H694="","",IF(H694=1,"",C694-_xlfn.MAXIFS($C$7:$C$1006,$A$7:$A$1006,A694,$C$7:$C$1006,"&lt;"&amp;C694)))</f>
        <v/>
      </c>
      <c r="J694" s="68">
        <f>IF(I694="","",I694/TpM)</f>
        <v/>
      </c>
      <c r="K694" s="69">
        <f>IF(H694="","",COUNTIFS($A$7:$A$1006,A694,$C$7:$C$1006,"&gt;0")-H694)</f>
        <v/>
      </c>
      <c r="L694" s="69">
        <f>IF(H694="","",A694&amp;"|"&amp;H694)</f>
        <v/>
      </c>
      <c r="M694" s="69">
        <f>IF(A694="","",IFERROR(INDEX(Bestand!$AC$14:$AC$213,MATCH(A694,Bestand!$A$14:$A$213,0)),0))</f>
        <v/>
      </c>
      <c r="N694" s="69">
        <f>IF(OR(H694="",M694&lt;&gt;1),"",C694+ROW()/100000)</f>
        <v/>
      </c>
    </row>
    <row r="695" ht="20" customHeight="1">
      <c r="A695" s="60" t="n"/>
      <c r="B695" s="65">
        <f>IF(A695="","",IFERROR(INDEX(Bestand!$B$14:$B$213,MATCH(A695,Bestand!$A$14:$A$213,0)),"ID unbekannt"))</f>
        <v/>
      </c>
      <c r="C695" s="63" t="n"/>
      <c r="D695" s="62" t="n"/>
      <c r="E695" s="60" t="n"/>
      <c r="F695" s="60" t="n"/>
      <c r="G695" s="61" t="n"/>
      <c r="H695" s="69">
        <f>IF(OR(A695="",C695=""),"",COUNTIFS($A$7:$A$1006,A695,$C$7:$C$1006,"&lt;"&amp;C695)+1)</f>
        <v/>
      </c>
      <c r="I695" s="67">
        <f>IF(H695="","",IF(H695=1,"",C695-_xlfn.MAXIFS($C$7:$C$1006,$A$7:$A$1006,A695,$C$7:$C$1006,"&lt;"&amp;C695)))</f>
        <v/>
      </c>
      <c r="J695" s="68">
        <f>IF(I695="","",I695/TpM)</f>
        <v/>
      </c>
      <c r="K695" s="69">
        <f>IF(H695="","",COUNTIFS($A$7:$A$1006,A695,$C$7:$C$1006,"&gt;0")-H695)</f>
        <v/>
      </c>
      <c r="L695" s="69">
        <f>IF(H695="","",A695&amp;"|"&amp;H695)</f>
        <v/>
      </c>
      <c r="M695" s="69">
        <f>IF(A695="","",IFERROR(INDEX(Bestand!$AC$14:$AC$213,MATCH(A695,Bestand!$A$14:$A$213,0)),0))</f>
        <v/>
      </c>
      <c r="N695" s="69">
        <f>IF(OR(H695="",M695&lt;&gt;1),"",C695+ROW()/100000)</f>
        <v/>
      </c>
    </row>
    <row r="696" ht="20" customHeight="1">
      <c r="A696" s="60" t="n"/>
      <c r="B696" s="65">
        <f>IF(A696="","",IFERROR(INDEX(Bestand!$B$14:$B$213,MATCH(A696,Bestand!$A$14:$A$213,0)),"ID unbekannt"))</f>
        <v/>
      </c>
      <c r="C696" s="63" t="n"/>
      <c r="D696" s="62" t="n"/>
      <c r="E696" s="60" t="n"/>
      <c r="F696" s="60" t="n"/>
      <c r="G696" s="61" t="n"/>
      <c r="H696" s="69">
        <f>IF(OR(A696="",C696=""),"",COUNTIFS($A$7:$A$1006,A696,$C$7:$C$1006,"&lt;"&amp;C696)+1)</f>
        <v/>
      </c>
      <c r="I696" s="67">
        <f>IF(H696="","",IF(H696=1,"",C696-_xlfn.MAXIFS($C$7:$C$1006,$A$7:$A$1006,A696,$C$7:$C$1006,"&lt;"&amp;C696)))</f>
        <v/>
      </c>
      <c r="J696" s="68">
        <f>IF(I696="","",I696/TpM)</f>
        <v/>
      </c>
      <c r="K696" s="69">
        <f>IF(H696="","",COUNTIFS($A$7:$A$1006,A696,$C$7:$C$1006,"&gt;0")-H696)</f>
        <v/>
      </c>
      <c r="L696" s="69">
        <f>IF(H696="","",A696&amp;"|"&amp;H696)</f>
        <v/>
      </c>
      <c r="M696" s="69">
        <f>IF(A696="","",IFERROR(INDEX(Bestand!$AC$14:$AC$213,MATCH(A696,Bestand!$A$14:$A$213,0)),0))</f>
        <v/>
      </c>
      <c r="N696" s="69">
        <f>IF(OR(H696="",M696&lt;&gt;1),"",C696+ROW()/100000)</f>
        <v/>
      </c>
    </row>
    <row r="697" ht="20" customHeight="1">
      <c r="A697" s="60" t="n"/>
      <c r="B697" s="65">
        <f>IF(A697="","",IFERROR(INDEX(Bestand!$B$14:$B$213,MATCH(A697,Bestand!$A$14:$A$213,0)),"ID unbekannt"))</f>
        <v/>
      </c>
      <c r="C697" s="63" t="n"/>
      <c r="D697" s="62" t="n"/>
      <c r="E697" s="60" t="n"/>
      <c r="F697" s="60" t="n"/>
      <c r="G697" s="61" t="n"/>
      <c r="H697" s="69">
        <f>IF(OR(A697="",C697=""),"",COUNTIFS($A$7:$A$1006,A697,$C$7:$C$1006,"&lt;"&amp;C697)+1)</f>
        <v/>
      </c>
      <c r="I697" s="67">
        <f>IF(H697="","",IF(H697=1,"",C697-_xlfn.MAXIFS($C$7:$C$1006,$A$7:$A$1006,A697,$C$7:$C$1006,"&lt;"&amp;C697)))</f>
        <v/>
      </c>
      <c r="J697" s="68">
        <f>IF(I697="","",I697/TpM)</f>
        <v/>
      </c>
      <c r="K697" s="69">
        <f>IF(H697="","",COUNTIFS($A$7:$A$1006,A697,$C$7:$C$1006,"&gt;0")-H697)</f>
        <v/>
      </c>
      <c r="L697" s="69">
        <f>IF(H697="","",A697&amp;"|"&amp;H697)</f>
        <v/>
      </c>
      <c r="M697" s="69">
        <f>IF(A697="","",IFERROR(INDEX(Bestand!$AC$14:$AC$213,MATCH(A697,Bestand!$A$14:$A$213,0)),0))</f>
        <v/>
      </c>
      <c r="N697" s="69">
        <f>IF(OR(H697="",M697&lt;&gt;1),"",C697+ROW()/100000)</f>
        <v/>
      </c>
    </row>
    <row r="698" ht="20" customHeight="1">
      <c r="A698" s="60" t="n"/>
      <c r="B698" s="65">
        <f>IF(A698="","",IFERROR(INDEX(Bestand!$B$14:$B$213,MATCH(A698,Bestand!$A$14:$A$213,0)),"ID unbekannt"))</f>
        <v/>
      </c>
      <c r="C698" s="63" t="n"/>
      <c r="D698" s="62" t="n"/>
      <c r="E698" s="60" t="n"/>
      <c r="F698" s="60" t="n"/>
      <c r="G698" s="61" t="n"/>
      <c r="H698" s="69">
        <f>IF(OR(A698="",C698=""),"",COUNTIFS($A$7:$A$1006,A698,$C$7:$C$1006,"&lt;"&amp;C698)+1)</f>
        <v/>
      </c>
      <c r="I698" s="67">
        <f>IF(H698="","",IF(H698=1,"",C698-_xlfn.MAXIFS($C$7:$C$1006,$A$7:$A$1006,A698,$C$7:$C$1006,"&lt;"&amp;C698)))</f>
        <v/>
      </c>
      <c r="J698" s="68">
        <f>IF(I698="","",I698/TpM)</f>
        <v/>
      </c>
      <c r="K698" s="69">
        <f>IF(H698="","",COUNTIFS($A$7:$A$1006,A698,$C$7:$C$1006,"&gt;0")-H698)</f>
        <v/>
      </c>
      <c r="L698" s="69">
        <f>IF(H698="","",A698&amp;"|"&amp;H698)</f>
        <v/>
      </c>
      <c r="M698" s="69">
        <f>IF(A698="","",IFERROR(INDEX(Bestand!$AC$14:$AC$213,MATCH(A698,Bestand!$A$14:$A$213,0)),0))</f>
        <v/>
      </c>
      <c r="N698" s="69">
        <f>IF(OR(H698="",M698&lt;&gt;1),"",C698+ROW()/100000)</f>
        <v/>
      </c>
    </row>
    <row r="699" ht="20" customHeight="1">
      <c r="A699" s="60" t="n"/>
      <c r="B699" s="65">
        <f>IF(A699="","",IFERROR(INDEX(Bestand!$B$14:$B$213,MATCH(A699,Bestand!$A$14:$A$213,0)),"ID unbekannt"))</f>
        <v/>
      </c>
      <c r="C699" s="63" t="n"/>
      <c r="D699" s="62" t="n"/>
      <c r="E699" s="60" t="n"/>
      <c r="F699" s="60" t="n"/>
      <c r="G699" s="61" t="n"/>
      <c r="H699" s="69">
        <f>IF(OR(A699="",C699=""),"",COUNTIFS($A$7:$A$1006,A699,$C$7:$C$1006,"&lt;"&amp;C699)+1)</f>
        <v/>
      </c>
      <c r="I699" s="67">
        <f>IF(H699="","",IF(H699=1,"",C699-_xlfn.MAXIFS($C$7:$C$1006,$A$7:$A$1006,A699,$C$7:$C$1006,"&lt;"&amp;C699)))</f>
        <v/>
      </c>
      <c r="J699" s="68">
        <f>IF(I699="","",I699/TpM)</f>
        <v/>
      </c>
      <c r="K699" s="69">
        <f>IF(H699="","",COUNTIFS($A$7:$A$1006,A699,$C$7:$C$1006,"&gt;0")-H699)</f>
        <v/>
      </c>
      <c r="L699" s="69">
        <f>IF(H699="","",A699&amp;"|"&amp;H699)</f>
        <v/>
      </c>
      <c r="M699" s="69">
        <f>IF(A699="","",IFERROR(INDEX(Bestand!$AC$14:$AC$213,MATCH(A699,Bestand!$A$14:$A$213,0)),0))</f>
        <v/>
      </c>
      <c r="N699" s="69">
        <f>IF(OR(H699="",M699&lt;&gt;1),"",C699+ROW()/100000)</f>
        <v/>
      </c>
    </row>
    <row r="700" ht="20" customHeight="1">
      <c r="A700" s="60" t="n"/>
      <c r="B700" s="65">
        <f>IF(A700="","",IFERROR(INDEX(Bestand!$B$14:$B$213,MATCH(A700,Bestand!$A$14:$A$213,0)),"ID unbekannt"))</f>
        <v/>
      </c>
      <c r="C700" s="63" t="n"/>
      <c r="D700" s="62" t="n"/>
      <c r="E700" s="60" t="n"/>
      <c r="F700" s="60" t="n"/>
      <c r="G700" s="61" t="n"/>
      <c r="H700" s="69">
        <f>IF(OR(A700="",C700=""),"",COUNTIFS($A$7:$A$1006,A700,$C$7:$C$1006,"&lt;"&amp;C700)+1)</f>
        <v/>
      </c>
      <c r="I700" s="67">
        <f>IF(H700="","",IF(H700=1,"",C700-_xlfn.MAXIFS($C$7:$C$1006,$A$7:$A$1006,A700,$C$7:$C$1006,"&lt;"&amp;C700)))</f>
        <v/>
      </c>
      <c r="J700" s="68">
        <f>IF(I700="","",I700/TpM)</f>
        <v/>
      </c>
      <c r="K700" s="69">
        <f>IF(H700="","",COUNTIFS($A$7:$A$1006,A700,$C$7:$C$1006,"&gt;0")-H700)</f>
        <v/>
      </c>
      <c r="L700" s="69">
        <f>IF(H700="","",A700&amp;"|"&amp;H700)</f>
        <v/>
      </c>
      <c r="M700" s="69">
        <f>IF(A700="","",IFERROR(INDEX(Bestand!$AC$14:$AC$213,MATCH(A700,Bestand!$A$14:$A$213,0)),0))</f>
        <v/>
      </c>
      <c r="N700" s="69">
        <f>IF(OR(H700="",M700&lt;&gt;1),"",C700+ROW()/100000)</f>
        <v/>
      </c>
    </row>
    <row r="701" ht="20" customHeight="1">
      <c r="A701" s="60" t="n"/>
      <c r="B701" s="65">
        <f>IF(A701="","",IFERROR(INDEX(Bestand!$B$14:$B$213,MATCH(A701,Bestand!$A$14:$A$213,0)),"ID unbekannt"))</f>
        <v/>
      </c>
      <c r="C701" s="63" t="n"/>
      <c r="D701" s="62" t="n"/>
      <c r="E701" s="60" t="n"/>
      <c r="F701" s="60" t="n"/>
      <c r="G701" s="61" t="n"/>
      <c r="H701" s="69">
        <f>IF(OR(A701="",C701=""),"",COUNTIFS($A$7:$A$1006,A701,$C$7:$C$1006,"&lt;"&amp;C701)+1)</f>
        <v/>
      </c>
      <c r="I701" s="67">
        <f>IF(H701="","",IF(H701=1,"",C701-_xlfn.MAXIFS($C$7:$C$1006,$A$7:$A$1006,A701,$C$7:$C$1006,"&lt;"&amp;C701)))</f>
        <v/>
      </c>
      <c r="J701" s="68">
        <f>IF(I701="","",I701/TpM)</f>
        <v/>
      </c>
      <c r="K701" s="69">
        <f>IF(H701="","",COUNTIFS($A$7:$A$1006,A701,$C$7:$C$1006,"&gt;0")-H701)</f>
        <v/>
      </c>
      <c r="L701" s="69">
        <f>IF(H701="","",A701&amp;"|"&amp;H701)</f>
        <v/>
      </c>
      <c r="M701" s="69">
        <f>IF(A701="","",IFERROR(INDEX(Bestand!$AC$14:$AC$213,MATCH(A701,Bestand!$A$14:$A$213,0)),0))</f>
        <v/>
      </c>
      <c r="N701" s="69">
        <f>IF(OR(H701="",M701&lt;&gt;1),"",C701+ROW()/100000)</f>
        <v/>
      </c>
    </row>
    <row r="702" ht="20" customHeight="1">
      <c r="A702" s="60" t="n"/>
      <c r="B702" s="65">
        <f>IF(A702="","",IFERROR(INDEX(Bestand!$B$14:$B$213,MATCH(A702,Bestand!$A$14:$A$213,0)),"ID unbekannt"))</f>
        <v/>
      </c>
      <c r="C702" s="63" t="n"/>
      <c r="D702" s="62" t="n"/>
      <c r="E702" s="60" t="n"/>
      <c r="F702" s="60" t="n"/>
      <c r="G702" s="61" t="n"/>
      <c r="H702" s="69">
        <f>IF(OR(A702="",C702=""),"",COUNTIFS($A$7:$A$1006,A702,$C$7:$C$1006,"&lt;"&amp;C702)+1)</f>
        <v/>
      </c>
      <c r="I702" s="67">
        <f>IF(H702="","",IF(H702=1,"",C702-_xlfn.MAXIFS($C$7:$C$1006,$A$7:$A$1006,A702,$C$7:$C$1006,"&lt;"&amp;C702)))</f>
        <v/>
      </c>
      <c r="J702" s="68">
        <f>IF(I702="","",I702/TpM)</f>
        <v/>
      </c>
      <c r="K702" s="69">
        <f>IF(H702="","",COUNTIFS($A$7:$A$1006,A702,$C$7:$C$1006,"&gt;0")-H702)</f>
        <v/>
      </c>
      <c r="L702" s="69">
        <f>IF(H702="","",A702&amp;"|"&amp;H702)</f>
        <v/>
      </c>
      <c r="M702" s="69">
        <f>IF(A702="","",IFERROR(INDEX(Bestand!$AC$14:$AC$213,MATCH(A702,Bestand!$A$14:$A$213,0)),0))</f>
        <v/>
      </c>
      <c r="N702" s="69">
        <f>IF(OR(H702="",M702&lt;&gt;1),"",C702+ROW()/100000)</f>
        <v/>
      </c>
    </row>
    <row r="703" ht="20" customHeight="1">
      <c r="A703" s="60" t="n"/>
      <c r="B703" s="65">
        <f>IF(A703="","",IFERROR(INDEX(Bestand!$B$14:$B$213,MATCH(A703,Bestand!$A$14:$A$213,0)),"ID unbekannt"))</f>
        <v/>
      </c>
      <c r="C703" s="63" t="n"/>
      <c r="D703" s="62" t="n"/>
      <c r="E703" s="60" t="n"/>
      <c r="F703" s="60" t="n"/>
      <c r="G703" s="61" t="n"/>
      <c r="H703" s="69">
        <f>IF(OR(A703="",C703=""),"",COUNTIFS($A$7:$A$1006,A703,$C$7:$C$1006,"&lt;"&amp;C703)+1)</f>
        <v/>
      </c>
      <c r="I703" s="67">
        <f>IF(H703="","",IF(H703=1,"",C703-_xlfn.MAXIFS($C$7:$C$1006,$A$7:$A$1006,A703,$C$7:$C$1006,"&lt;"&amp;C703)))</f>
        <v/>
      </c>
      <c r="J703" s="68">
        <f>IF(I703="","",I703/TpM)</f>
        <v/>
      </c>
      <c r="K703" s="69">
        <f>IF(H703="","",COUNTIFS($A$7:$A$1006,A703,$C$7:$C$1006,"&gt;0")-H703)</f>
        <v/>
      </c>
      <c r="L703" s="69">
        <f>IF(H703="","",A703&amp;"|"&amp;H703)</f>
        <v/>
      </c>
      <c r="M703" s="69">
        <f>IF(A703="","",IFERROR(INDEX(Bestand!$AC$14:$AC$213,MATCH(A703,Bestand!$A$14:$A$213,0)),0))</f>
        <v/>
      </c>
      <c r="N703" s="69">
        <f>IF(OR(H703="",M703&lt;&gt;1),"",C703+ROW()/100000)</f>
        <v/>
      </c>
    </row>
    <row r="704" ht="20" customHeight="1">
      <c r="A704" s="60" t="n"/>
      <c r="B704" s="65">
        <f>IF(A704="","",IFERROR(INDEX(Bestand!$B$14:$B$213,MATCH(A704,Bestand!$A$14:$A$213,0)),"ID unbekannt"))</f>
        <v/>
      </c>
      <c r="C704" s="63" t="n"/>
      <c r="D704" s="62" t="n"/>
      <c r="E704" s="60" t="n"/>
      <c r="F704" s="60" t="n"/>
      <c r="G704" s="61" t="n"/>
      <c r="H704" s="69">
        <f>IF(OR(A704="",C704=""),"",COUNTIFS($A$7:$A$1006,A704,$C$7:$C$1006,"&lt;"&amp;C704)+1)</f>
        <v/>
      </c>
      <c r="I704" s="67">
        <f>IF(H704="","",IF(H704=1,"",C704-_xlfn.MAXIFS($C$7:$C$1006,$A$7:$A$1006,A704,$C$7:$C$1006,"&lt;"&amp;C704)))</f>
        <v/>
      </c>
      <c r="J704" s="68">
        <f>IF(I704="","",I704/TpM)</f>
        <v/>
      </c>
      <c r="K704" s="69">
        <f>IF(H704="","",COUNTIFS($A$7:$A$1006,A704,$C$7:$C$1006,"&gt;0")-H704)</f>
        <v/>
      </c>
      <c r="L704" s="69">
        <f>IF(H704="","",A704&amp;"|"&amp;H704)</f>
        <v/>
      </c>
      <c r="M704" s="69">
        <f>IF(A704="","",IFERROR(INDEX(Bestand!$AC$14:$AC$213,MATCH(A704,Bestand!$A$14:$A$213,0)),0))</f>
        <v/>
      </c>
      <c r="N704" s="69">
        <f>IF(OR(H704="",M704&lt;&gt;1),"",C704+ROW()/100000)</f>
        <v/>
      </c>
    </row>
    <row r="705" ht="20" customHeight="1">
      <c r="A705" s="60" t="n"/>
      <c r="B705" s="65">
        <f>IF(A705="","",IFERROR(INDEX(Bestand!$B$14:$B$213,MATCH(A705,Bestand!$A$14:$A$213,0)),"ID unbekannt"))</f>
        <v/>
      </c>
      <c r="C705" s="63" t="n"/>
      <c r="D705" s="62" t="n"/>
      <c r="E705" s="60" t="n"/>
      <c r="F705" s="60" t="n"/>
      <c r="G705" s="61" t="n"/>
      <c r="H705" s="69">
        <f>IF(OR(A705="",C705=""),"",COUNTIFS($A$7:$A$1006,A705,$C$7:$C$1006,"&lt;"&amp;C705)+1)</f>
        <v/>
      </c>
      <c r="I705" s="67">
        <f>IF(H705="","",IF(H705=1,"",C705-_xlfn.MAXIFS($C$7:$C$1006,$A$7:$A$1006,A705,$C$7:$C$1006,"&lt;"&amp;C705)))</f>
        <v/>
      </c>
      <c r="J705" s="68">
        <f>IF(I705="","",I705/TpM)</f>
        <v/>
      </c>
      <c r="K705" s="69">
        <f>IF(H705="","",COUNTIFS($A$7:$A$1006,A705,$C$7:$C$1006,"&gt;0")-H705)</f>
        <v/>
      </c>
      <c r="L705" s="69">
        <f>IF(H705="","",A705&amp;"|"&amp;H705)</f>
        <v/>
      </c>
      <c r="M705" s="69">
        <f>IF(A705="","",IFERROR(INDEX(Bestand!$AC$14:$AC$213,MATCH(A705,Bestand!$A$14:$A$213,0)),0))</f>
        <v/>
      </c>
      <c r="N705" s="69">
        <f>IF(OR(H705="",M705&lt;&gt;1),"",C705+ROW()/100000)</f>
        <v/>
      </c>
    </row>
    <row r="706" ht="20" customHeight="1">
      <c r="A706" s="60" t="n"/>
      <c r="B706" s="65">
        <f>IF(A706="","",IFERROR(INDEX(Bestand!$B$14:$B$213,MATCH(A706,Bestand!$A$14:$A$213,0)),"ID unbekannt"))</f>
        <v/>
      </c>
      <c r="C706" s="63" t="n"/>
      <c r="D706" s="62" t="n"/>
      <c r="E706" s="60" t="n"/>
      <c r="F706" s="60" t="n"/>
      <c r="G706" s="61" t="n"/>
      <c r="H706" s="69">
        <f>IF(OR(A706="",C706=""),"",COUNTIFS($A$7:$A$1006,A706,$C$7:$C$1006,"&lt;"&amp;C706)+1)</f>
        <v/>
      </c>
      <c r="I706" s="67">
        <f>IF(H706="","",IF(H706=1,"",C706-_xlfn.MAXIFS($C$7:$C$1006,$A$7:$A$1006,A706,$C$7:$C$1006,"&lt;"&amp;C706)))</f>
        <v/>
      </c>
      <c r="J706" s="68">
        <f>IF(I706="","",I706/TpM)</f>
        <v/>
      </c>
      <c r="K706" s="69">
        <f>IF(H706="","",COUNTIFS($A$7:$A$1006,A706,$C$7:$C$1006,"&gt;0")-H706)</f>
        <v/>
      </c>
      <c r="L706" s="69">
        <f>IF(H706="","",A706&amp;"|"&amp;H706)</f>
        <v/>
      </c>
      <c r="M706" s="69">
        <f>IF(A706="","",IFERROR(INDEX(Bestand!$AC$14:$AC$213,MATCH(A706,Bestand!$A$14:$A$213,0)),0))</f>
        <v/>
      </c>
      <c r="N706" s="69">
        <f>IF(OR(H706="",M706&lt;&gt;1),"",C706+ROW()/100000)</f>
        <v/>
      </c>
    </row>
    <row r="707" ht="20" customHeight="1">
      <c r="A707" s="60" t="n"/>
      <c r="B707" s="65">
        <f>IF(A707="","",IFERROR(INDEX(Bestand!$B$14:$B$213,MATCH(A707,Bestand!$A$14:$A$213,0)),"ID unbekannt"))</f>
        <v/>
      </c>
      <c r="C707" s="63" t="n"/>
      <c r="D707" s="62" t="n"/>
      <c r="E707" s="60" t="n"/>
      <c r="F707" s="60" t="n"/>
      <c r="G707" s="61" t="n"/>
      <c r="H707" s="69">
        <f>IF(OR(A707="",C707=""),"",COUNTIFS($A$7:$A$1006,A707,$C$7:$C$1006,"&lt;"&amp;C707)+1)</f>
        <v/>
      </c>
      <c r="I707" s="67">
        <f>IF(H707="","",IF(H707=1,"",C707-_xlfn.MAXIFS($C$7:$C$1006,$A$7:$A$1006,A707,$C$7:$C$1006,"&lt;"&amp;C707)))</f>
        <v/>
      </c>
      <c r="J707" s="68">
        <f>IF(I707="","",I707/TpM)</f>
        <v/>
      </c>
      <c r="K707" s="69">
        <f>IF(H707="","",COUNTIFS($A$7:$A$1006,A707,$C$7:$C$1006,"&gt;0")-H707)</f>
        <v/>
      </c>
      <c r="L707" s="69">
        <f>IF(H707="","",A707&amp;"|"&amp;H707)</f>
        <v/>
      </c>
      <c r="M707" s="69">
        <f>IF(A707="","",IFERROR(INDEX(Bestand!$AC$14:$AC$213,MATCH(A707,Bestand!$A$14:$A$213,0)),0))</f>
        <v/>
      </c>
      <c r="N707" s="69">
        <f>IF(OR(H707="",M707&lt;&gt;1),"",C707+ROW()/100000)</f>
        <v/>
      </c>
    </row>
    <row r="708" ht="20" customHeight="1">
      <c r="A708" s="60" t="n"/>
      <c r="B708" s="65">
        <f>IF(A708="","",IFERROR(INDEX(Bestand!$B$14:$B$213,MATCH(A708,Bestand!$A$14:$A$213,0)),"ID unbekannt"))</f>
        <v/>
      </c>
      <c r="C708" s="63" t="n"/>
      <c r="D708" s="62" t="n"/>
      <c r="E708" s="60" t="n"/>
      <c r="F708" s="60" t="n"/>
      <c r="G708" s="61" t="n"/>
      <c r="H708" s="69">
        <f>IF(OR(A708="",C708=""),"",COUNTIFS($A$7:$A$1006,A708,$C$7:$C$1006,"&lt;"&amp;C708)+1)</f>
        <v/>
      </c>
      <c r="I708" s="67">
        <f>IF(H708="","",IF(H708=1,"",C708-_xlfn.MAXIFS($C$7:$C$1006,$A$7:$A$1006,A708,$C$7:$C$1006,"&lt;"&amp;C708)))</f>
        <v/>
      </c>
      <c r="J708" s="68">
        <f>IF(I708="","",I708/TpM)</f>
        <v/>
      </c>
      <c r="K708" s="69">
        <f>IF(H708="","",COUNTIFS($A$7:$A$1006,A708,$C$7:$C$1006,"&gt;0")-H708)</f>
        <v/>
      </c>
      <c r="L708" s="69">
        <f>IF(H708="","",A708&amp;"|"&amp;H708)</f>
        <v/>
      </c>
      <c r="M708" s="69">
        <f>IF(A708="","",IFERROR(INDEX(Bestand!$AC$14:$AC$213,MATCH(A708,Bestand!$A$14:$A$213,0)),0))</f>
        <v/>
      </c>
      <c r="N708" s="69">
        <f>IF(OR(H708="",M708&lt;&gt;1),"",C708+ROW()/100000)</f>
        <v/>
      </c>
    </row>
    <row r="709" ht="20" customHeight="1">
      <c r="A709" s="60" t="n"/>
      <c r="B709" s="65">
        <f>IF(A709="","",IFERROR(INDEX(Bestand!$B$14:$B$213,MATCH(A709,Bestand!$A$14:$A$213,0)),"ID unbekannt"))</f>
        <v/>
      </c>
      <c r="C709" s="63" t="n"/>
      <c r="D709" s="62" t="n"/>
      <c r="E709" s="60" t="n"/>
      <c r="F709" s="60" t="n"/>
      <c r="G709" s="61" t="n"/>
      <c r="H709" s="69">
        <f>IF(OR(A709="",C709=""),"",COUNTIFS($A$7:$A$1006,A709,$C$7:$C$1006,"&lt;"&amp;C709)+1)</f>
        <v/>
      </c>
      <c r="I709" s="67">
        <f>IF(H709="","",IF(H709=1,"",C709-_xlfn.MAXIFS($C$7:$C$1006,$A$7:$A$1006,A709,$C$7:$C$1006,"&lt;"&amp;C709)))</f>
        <v/>
      </c>
      <c r="J709" s="68">
        <f>IF(I709="","",I709/TpM)</f>
        <v/>
      </c>
      <c r="K709" s="69">
        <f>IF(H709="","",COUNTIFS($A$7:$A$1006,A709,$C$7:$C$1006,"&gt;0")-H709)</f>
        <v/>
      </c>
      <c r="L709" s="69">
        <f>IF(H709="","",A709&amp;"|"&amp;H709)</f>
        <v/>
      </c>
      <c r="M709" s="69">
        <f>IF(A709="","",IFERROR(INDEX(Bestand!$AC$14:$AC$213,MATCH(A709,Bestand!$A$14:$A$213,0)),0))</f>
        <v/>
      </c>
      <c r="N709" s="69">
        <f>IF(OR(H709="",M709&lt;&gt;1),"",C709+ROW()/100000)</f>
        <v/>
      </c>
    </row>
    <row r="710" ht="20" customHeight="1">
      <c r="A710" s="60" t="n"/>
      <c r="B710" s="65">
        <f>IF(A710="","",IFERROR(INDEX(Bestand!$B$14:$B$213,MATCH(A710,Bestand!$A$14:$A$213,0)),"ID unbekannt"))</f>
        <v/>
      </c>
      <c r="C710" s="63" t="n"/>
      <c r="D710" s="62" t="n"/>
      <c r="E710" s="60" t="n"/>
      <c r="F710" s="60" t="n"/>
      <c r="G710" s="61" t="n"/>
      <c r="H710" s="69">
        <f>IF(OR(A710="",C710=""),"",COUNTIFS($A$7:$A$1006,A710,$C$7:$C$1006,"&lt;"&amp;C710)+1)</f>
        <v/>
      </c>
      <c r="I710" s="67">
        <f>IF(H710="","",IF(H710=1,"",C710-_xlfn.MAXIFS($C$7:$C$1006,$A$7:$A$1006,A710,$C$7:$C$1006,"&lt;"&amp;C710)))</f>
        <v/>
      </c>
      <c r="J710" s="68">
        <f>IF(I710="","",I710/TpM)</f>
        <v/>
      </c>
      <c r="K710" s="69">
        <f>IF(H710="","",COUNTIFS($A$7:$A$1006,A710,$C$7:$C$1006,"&gt;0")-H710)</f>
        <v/>
      </c>
      <c r="L710" s="69">
        <f>IF(H710="","",A710&amp;"|"&amp;H710)</f>
        <v/>
      </c>
      <c r="M710" s="69">
        <f>IF(A710="","",IFERROR(INDEX(Bestand!$AC$14:$AC$213,MATCH(A710,Bestand!$A$14:$A$213,0)),0))</f>
        <v/>
      </c>
      <c r="N710" s="69">
        <f>IF(OR(H710="",M710&lt;&gt;1),"",C710+ROW()/100000)</f>
        <v/>
      </c>
    </row>
    <row r="711" ht="20" customHeight="1">
      <c r="A711" s="60" t="n"/>
      <c r="B711" s="65">
        <f>IF(A711="","",IFERROR(INDEX(Bestand!$B$14:$B$213,MATCH(A711,Bestand!$A$14:$A$213,0)),"ID unbekannt"))</f>
        <v/>
      </c>
      <c r="C711" s="63" t="n"/>
      <c r="D711" s="62" t="n"/>
      <c r="E711" s="60" t="n"/>
      <c r="F711" s="60" t="n"/>
      <c r="G711" s="61" t="n"/>
      <c r="H711" s="69">
        <f>IF(OR(A711="",C711=""),"",COUNTIFS($A$7:$A$1006,A711,$C$7:$C$1006,"&lt;"&amp;C711)+1)</f>
        <v/>
      </c>
      <c r="I711" s="67">
        <f>IF(H711="","",IF(H711=1,"",C711-_xlfn.MAXIFS($C$7:$C$1006,$A$7:$A$1006,A711,$C$7:$C$1006,"&lt;"&amp;C711)))</f>
        <v/>
      </c>
      <c r="J711" s="68">
        <f>IF(I711="","",I711/TpM)</f>
        <v/>
      </c>
      <c r="K711" s="69">
        <f>IF(H711="","",COUNTIFS($A$7:$A$1006,A711,$C$7:$C$1006,"&gt;0")-H711)</f>
        <v/>
      </c>
      <c r="L711" s="69">
        <f>IF(H711="","",A711&amp;"|"&amp;H711)</f>
        <v/>
      </c>
      <c r="M711" s="69">
        <f>IF(A711="","",IFERROR(INDEX(Bestand!$AC$14:$AC$213,MATCH(A711,Bestand!$A$14:$A$213,0)),0))</f>
        <v/>
      </c>
      <c r="N711" s="69">
        <f>IF(OR(H711="",M711&lt;&gt;1),"",C711+ROW()/100000)</f>
        <v/>
      </c>
    </row>
    <row r="712" ht="20" customHeight="1">
      <c r="A712" s="60" t="n"/>
      <c r="B712" s="65">
        <f>IF(A712="","",IFERROR(INDEX(Bestand!$B$14:$B$213,MATCH(A712,Bestand!$A$14:$A$213,0)),"ID unbekannt"))</f>
        <v/>
      </c>
      <c r="C712" s="63" t="n"/>
      <c r="D712" s="62" t="n"/>
      <c r="E712" s="60" t="n"/>
      <c r="F712" s="60" t="n"/>
      <c r="G712" s="61" t="n"/>
      <c r="H712" s="69">
        <f>IF(OR(A712="",C712=""),"",COUNTIFS($A$7:$A$1006,A712,$C$7:$C$1006,"&lt;"&amp;C712)+1)</f>
        <v/>
      </c>
      <c r="I712" s="67">
        <f>IF(H712="","",IF(H712=1,"",C712-_xlfn.MAXIFS($C$7:$C$1006,$A$7:$A$1006,A712,$C$7:$C$1006,"&lt;"&amp;C712)))</f>
        <v/>
      </c>
      <c r="J712" s="68">
        <f>IF(I712="","",I712/TpM)</f>
        <v/>
      </c>
      <c r="K712" s="69">
        <f>IF(H712="","",COUNTIFS($A$7:$A$1006,A712,$C$7:$C$1006,"&gt;0")-H712)</f>
        <v/>
      </c>
      <c r="L712" s="69">
        <f>IF(H712="","",A712&amp;"|"&amp;H712)</f>
        <v/>
      </c>
      <c r="M712" s="69">
        <f>IF(A712="","",IFERROR(INDEX(Bestand!$AC$14:$AC$213,MATCH(A712,Bestand!$A$14:$A$213,0)),0))</f>
        <v/>
      </c>
      <c r="N712" s="69">
        <f>IF(OR(H712="",M712&lt;&gt;1),"",C712+ROW()/100000)</f>
        <v/>
      </c>
    </row>
    <row r="713" ht="20" customHeight="1">
      <c r="A713" s="60" t="n"/>
      <c r="B713" s="65">
        <f>IF(A713="","",IFERROR(INDEX(Bestand!$B$14:$B$213,MATCH(A713,Bestand!$A$14:$A$213,0)),"ID unbekannt"))</f>
        <v/>
      </c>
      <c r="C713" s="63" t="n"/>
      <c r="D713" s="62" t="n"/>
      <c r="E713" s="60" t="n"/>
      <c r="F713" s="60" t="n"/>
      <c r="G713" s="61" t="n"/>
      <c r="H713" s="69">
        <f>IF(OR(A713="",C713=""),"",COUNTIFS($A$7:$A$1006,A713,$C$7:$C$1006,"&lt;"&amp;C713)+1)</f>
        <v/>
      </c>
      <c r="I713" s="67">
        <f>IF(H713="","",IF(H713=1,"",C713-_xlfn.MAXIFS($C$7:$C$1006,$A$7:$A$1006,A713,$C$7:$C$1006,"&lt;"&amp;C713)))</f>
        <v/>
      </c>
      <c r="J713" s="68">
        <f>IF(I713="","",I713/TpM)</f>
        <v/>
      </c>
      <c r="K713" s="69">
        <f>IF(H713="","",COUNTIFS($A$7:$A$1006,A713,$C$7:$C$1006,"&gt;0")-H713)</f>
        <v/>
      </c>
      <c r="L713" s="69">
        <f>IF(H713="","",A713&amp;"|"&amp;H713)</f>
        <v/>
      </c>
      <c r="M713" s="69">
        <f>IF(A713="","",IFERROR(INDEX(Bestand!$AC$14:$AC$213,MATCH(A713,Bestand!$A$14:$A$213,0)),0))</f>
        <v/>
      </c>
      <c r="N713" s="69">
        <f>IF(OR(H713="",M713&lt;&gt;1),"",C713+ROW()/100000)</f>
        <v/>
      </c>
    </row>
    <row r="714" ht="20" customHeight="1">
      <c r="A714" s="60" t="n"/>
      <c r="B714" s="65">
        <f>IF(A714="","",IFERROR(INDEX(Bestand!$B$14:$B$213,MATCH(A714,Bestand!$A$14:$A$213,0)),"ID unbekannt"))</f>
        <v/>
      </c>
      <c r="C714" s="63" t="n"/>
      <c r="D714" s="62" t="n"/>
      <c r="E714" s="60" t="n"/>
      <c r="F714" s="60" t="n"/>
      <c r="G714" s="61" t="n"/>
      <c r="H714" s="69">
        <f>IF(OR(A714="",C714=""),"",COUNTIFS($A$7:$A$1006,A714,$C$7:$C$1006,"&lt;"&amp;C714)+1)</f>
        <v/>
      </c>
      <c r="I714" s="67">
        <f>IF(H714="","",IF(H714=1,"",C714-_xlfn.MAXIFS($C$7:$C$1006,$A$7:$A$1006,A714,$C$7:$C$1006,"&lt;"&amp;C714)))</f>
        <v/>
      </c>
      <c r="J714" s="68">
        <f>IF(I714="","",I714/TpM)</f>
        <v/>
      </c>
      <c r="K714" s="69">
        <f>IF(H714="","",COUNTIFS($A$7:$A$1006,A714,$C$7:$C$1006,"&gt;0")-H714)</f>
        <v/>
      </c>
      <c r="L714" s="69">
        <f>IF(H714="","",A714&amp;"|"&amp;H714)</f>
        <v/>
      </c>
      <c r="M714" s="69">
        <f>IF(A714="","",IFERROR(INDEX(Bestand!$AC$14:$AC$213,MATCH(A714,Bestand!$A$14:$A$213,0)),0))</f>
        <v/>
      </c>
      <c r="N714" s="69">
        <f>IF(OR(H714="",M714&lt;&gt;1),"",C714+ROW()/100000)</f>
        <v/>
      </c>
    </row>
    <row r="715" ht="20" customHeight="1">
      <c r="A715" s="60" t="n"/>
      <c r="B715" s="65">
        <f>IF(A715="","",IFERROR(INDEX(Bestand!$B$14:$B$213,MATCH(A715,Bestand!$A$14:$A$213,0)),"ID unbekannt"))</f>
        <v/>
      </c>
      <c r="C715" s="63" t="n"/>
      <c r="D715" s="62" t="n"/>
      <c r="E715" s="60" t="n"/>
      <c r="F715" s="60" t="n"/>
      <c r="G715" s="61" t="n"/>
      <c r="H715" s="69">
        <f>IF(OR(A715="",C715=""),"",COUNTIFS($A$7:$A$1006,A715,$C$7:$C$1006,"&lt;"&amp;C715)+1)</f>
        <v/>
      </c>
      <c r="I715" s="67">
        <f>IF(H715="","",IF(H715=1,"",C715-_xlfn.MAXIFS($C$7:$C$1006,$A$7:$A$1006,A715,$C$7:$C$1006,"&lt;"&amp;C715)))</f>
        <v/>
      </c>
      <c r="J715" s="68">
        <f>IF(I715="","",I715/TpM)</f>
        <v/>
      </c>
      <c r="K715" s="69">
        <f>IF(H715="","",COUNTIFS($A$7:$A$1006,A715,$C$7:$C$1006,"&gt;0")-H715)</f>
        <v/>
      </c>
      <c r="L715" s="69">
        <f>IF(H715="","",A715&amp;"|"&amp;H715)</f>
        <v/>
      </c>
      <c r="M715" s="69">
        <f>IF(A715="","",IFERROR(INDEX(Bestand!$AC$14:$AC$213,MATCH(A715,Bestand!$A$14:$A$213,0)),0))</f>
        <v/>
      </c>
      <c r="N715" s="69">
        <f>IF(OR(H715="",M715&lt;&gt;1),"",C715+ROW()/100000)</f>
        <v/>
      </c>
    </row>
    <row r="716" ht="20" customHeight="1">
      <c r="A716" s="60" t="n"/>
      <c r="B716" s="65">
        <f>IF(A716="","",IFERROR(INDEX(Bestand!$B$14:$B$213,MATCH(A716,Bestand!$A$14:$A$213,0)),"ID unbekannt"))</f>
        <v/>
      </c>
      <c r="C716" s="63" t="n"/>
      <c r="D716" s="62" t="n"/>
      <c r="E716" s="60" t="n"/>
      <c r="F716" s="60" t="n"/>
      <c r="G716" s="61" t="n"/>
      <c r="H716" s="69">
        <f>IF(OR(A716="",C716=""),"",COUNTIFS($A$7:$A$1006,A716,$C$7:$C$1006,"&lt;"&amp;C716)+1)</f>
        <v/>
      </c>
      <c r="I716" s="67">
        <f>IF(H716="","",IF(H716=1,"",C716-_xlfn.MAXIFS($C$7:$C$1006,$A$7:$A$1006,A716,$C$7:$C$1006,"&lt;"&amp;C716)))</f>
        <v/>
      </c>
      <c r="J716" s="68">
        <f>IF(I716="","",I716/TpM)</f>
        <v/>
      </c>
      <c r="K716" s="69">
        <f>IF(H716="","",COUNTIFS($A$7:$A$1006,A716,$C$7:$C$1006,"&gt;0")-H716)</f>
        <v/>
      </c>
      <c r="L716" s="69">
        <f>IF(H716="","",A716&amp;"|"&amp;H716)</f>
        <v/>
      </c>
      <c r="M716" s="69">
        <f>IF(A716="","",IFERROR(INDEX(Bestand!$AC$14:$AC$213,MATCH(A716,Bestand!$A$14:$A$213,0)),0))</f>
        <v/>
      </c>
      <c r="N716" s="69">
        <f>IF(OR(H716="",M716&lt;&gt;1),"",C716+ROW()/100000)</f>
        <v/>
      </c>
    </row>
    <row r="717" ht="20" customHeight="1">
      <c r="A717" s="60" t="n"/>
      <c r="B717" s="65">
        <f>IF(A717="","",IFERROR(INDEX(Bestand!$B$14:$B$213,MATCH(A717,Bestand!$A$14:$A$213,0)),"ID unbekannt"))</f>
        <v/>
      </c>
      <c r="C717" s="63" t="n"/>
      <c r="D717" s="62" t="n"/>
      <c r="E717" s="60" t="n"/>
      <c r="F717" s="60" t="n"/>
      <c r="G717" s="61" t="n"/>
      <c r="H717" s="69">
        <f>IF(OR(A717="",C717=""),"",COUNTIFS($A$7:$A$1006,A717,$C$7:$C$1006,"&lt;"&amp;C717)+1)</f>
        <v/>
      </c>
      <c r="I717" s="67">
        <f>IF(H717="","",IF(H717=1,"",C717-_xlfn.MAXIFS($C$7:$C$1006,$A$7:$A$1006,A717,$C$7:$C$1006,"&lt;"&amp;C717)))</f>
        <v/>
      </c>
      <c r="J717" s="68">
        <f>IF(I717="","",I717/TpM)</f>
        <v/>
      </c>
      <c r="K717" s="69">
        <f>IF(H717="","",COUNTIFS($A$7:$A$1006,A717,$C$7:$C$1006,"&gt;0")-H717)</f>
        <v/>
      </c>
      <c r="L717" s="69">
        <f>IF(H717="","",A717&amp;"|"&amp;H717)</f>
        <v/>
      </c>
      <c r="M717" s="69">
        <f>IF(A717="","",IFERROR(INDEX(Bestand!$AC$14:$AC$213,MATCH(A717,Bestand!$A$14:$A$213,0)),0))</f>
        <v/>
      </c>
      <c r="N717" s="69">
        <f>IF(OR(H717="",M717&lt;&gt;1),"",C717+ROW()/100000)</f>
        <v/>
      </c>
    </row>
    <row r="718" ht="20" customHeight="1">
      <c r="A718" s="60" t="n"/>
      <c r="B718" s="65">
        <f>IF(A718="","",IFERROR(INDEX(Bestand!$B$14:$B$213,MATCH(A718,Bestand!$A$14:$A$213,0)),"ID unbekannt"))</f>
        <v/>
      </c>
      <c r="C718" s="63" t="n"/>
      <c r="D718" s="62" t="n"/>
      <c r="E718" s="60" t="n"/>
      <c r="F718" s="60" t="n"/>
      <c r="G718" s="61" t="n"/>
      <c r="H718" s="69">
        <f>IF(OR(A718="",C718=""),"",COUNTIFS($A$7:$A$1006,A718,$C$7:$C$1006,"&lt;"&amp;C718)+1)</f>
        <v/>
      </c>
      <c r="I718" s="67">
        <f>IF(H718="","",IF(H718=1,"",C718-_xlfn.MAXIFS($C$7:$C$1006,$A$7:$A$1006,A718,$C$7:$C$1006,"&lt;"&amp;C718)))</f>
        <v/>
      </c>
      <c r="J718" s="68">
        <f>IF(I718="","",I718/TpM)</f>
        <v/>
      </c>
      <c r="K718" s="69">
        <f>IF(H718="","",COUNTIFS($A$7:$A$1006,A718,$C$7:$C$1006,"&gt;0")-H718)</f>
        <v/>
      </c>
      <c r="L718" s="69">
        <f>IF(H718="","",A718&amp;"|"&amp;H718)</f>
        <v/>
      </c>
      <c r="M718" s="69">
        <f>IF(A718="","",IFERROR(INDEX(Bestand!$AC$14:$AC$213,MATCH(A718,Bestand!$A$14:$A$213,0)),0))</f>
        <v/>
      </c>
      <c r="N718" s="69">
        <f>IF(OR(H718="",M718&lt;&gt;1),"",C718+ROW()/100000)</f>
        <v/>
      </c>
    </row>
    <row r="719" ht="20" customHeight="1">
      <c r="A719" s="60" t="n"/>
      <c r="B719" s="65">
        <f>IF(A719="","",IFERROR(INDEX(Bestand!$B$14:$B$213,MATCH(A719,Bestand!$A$14:$A$213,0)),"ID unbekannt"))</f>
        <v/>
      </c>
      <c r="C719" s="63" t="n"/>
      <c r="D719" s="62" t="n"/>
      <c r="E719" s="60" t="n"/>
      <c r="F719" s="60" t="n"/>
      <c r="G719" s="61" t="n"/>
      <c r="H719" s="69">
        <f>IF(OR(A719="",C719=""),"",COUNTIFS($A$7:$A$1006,A719,$C$7:$C$1006,"&lt;"&amp;C719)+1)</f>
        <v/>
      </c>
      <c r="I719" s="67">
        <f>IF(H719="","",IF(H719=1,"",C719-_xlfn.MAXIFS($C$7:$C$1006,$A$7:$A$1006,A719,$C$7:$C$1006,"&lt;"&amp;C719)))</f>
        <v/>
      </c>
      <c r="J719" s="68">
        <f>IF(I719="","",I719/TpM)</f>
        <v/>
      </c>
      <c r="K719" s="69">
        <f>IF(H719="","",COUNTIFS($A$7:$A$1006,A719,$C$7:$C$1006,"&gt;0")-H719)</f>
        <v/>
      </c>
      <c r="L719" s="69">
        <f>IF(H719="","",A719&amp;"|"&amp;H719)</f>
        <v/>
      </c>
      <c r="M719" s="69">
        <f>IF(A719="","",IFERROR(INDEX(Bestand!$AC$14:$AC$213,MATCH(A719,Bestand!$A$14:$A$213,0)),0))</f>
        <v/>
      </c>
      <c r="N719" s="69">
        <f>IF(OR(H719="",M719&lt;&gt;1),"",C719+ROW()/100000)</f>
        <v/>
      </c>
    </row>
    <row r="720" ht="20" customHeight="1">
      <c r="A720" s="60" t="n"/>
      <c r="B720" s="65">
        <f>IF(A720="","",IFERROR(INDEX(Bestand!$B$14:$B$213,MATCH(A720,Bestand!$A$14:$A$213,0)),"ID unbekannt"))</f>
        <v/>
      </c>
      <c r="C720" s="63" t="n"/>
      <c r="D720" s="62" t="n"/>
      <c r="E720" s="60" t="n"/>
      <c r="F720" s="60" t="n"/>
      <c r="G720" s="61" t="n"/>
      <c r="H720" s="69">
        <f>IF(OR(A720="",C720=""),"",COUNTIFS($A$7:$A$1006,A720,$C$7:$C$1006,"&lt;"&amp;C720)+1)</f>
        <v/>
      </c>
      <c r="I720" s="67">
        <f>IF(H720="","",IF(H720=1,"",C720-_xlfn.MAXIFS($C$7:$C$1006,$A$7:$A$1006,A720,$C$7:$C$1006,"&lt;"&amp;C720)))</f>
        <v/>
      </c>
      <c r="J720" s="68">
        <f>IF(I720="","",I720/TpM)</f>
        <v/>
      </c>
      <c r="K720" s="69">
        <f>IF(H720="","",COUNTIFS($A$7:$A$1006,A720,$C$7:$C$1006,"&gt;0")-H720)</f>
        <v/>
      </c>
      <c r="L720" s="69">
        <f>IF(H720="","",A720&amp;"|"&amp;H720)</f>
        <v/>
      </c>
      <c r="M720" s="69">
        <f>IF(A720="","",IFERROR(INDEX(Bestand!$AC$14:$AC$213,MATCH(A720,Bestand!$A$14:$A$213,0)),0))</f>
        <v/>
      </c>
      <c r="N720" s="69">
        <f>IF(OR(H720="",M720&lt;&gt;1),"",C720+ROW()/100000)</f>
        <v/>
      </c>
    </row>
    <row r="721" ht="20" customHeight="1">
      <c r="A721" s="60" t="n"/>
      <c r="B721" s="65">
        <f>IF(A721="","",IFERROR(INDEX(Bestand!$B$14:$B$213,MATCH(A721,Bestand!$A$14:$A$213,0)),"ID unbekannt"))</f>
        <v/>
      </c>
      <c r="C721" s="63" t="n"/>
      <c r="D721" s="62" t="n"/>
      <c r="E721" s="60" t="n"/>
      <c r="F721" s="60" t="n"/>
      <c r="G721" s="61" t="n"/>
      <c r="H721" s="69">
        <f>IF(OR(A721="",C721=""),"",COUNTIFS($A$7:$A$1006,A721,$C$7:$C$1006,"&lt;"&amp;C721)+1)</f>
        <v/>
      </c>
      <c r="I721" s="67">
        <f>IF(H721="","",IF(H721=1,"",C721-_xlfn.MAXIFS($C$7:$C$1006,$A$7:$A$1006,A721,$C$7:$C$1006,"&lt;"&amp;C721)))</f>
        <v/>
      </c>
      <c r="J721" s="68">
        <f>IF(I721="","",I721/TpM)</f>
        <v/>
      </c>
      <c r="K721" s="69">
        <f>IF(H721="","",COUNTIFS($A$7:$A$1006,A721,$C$7:$C$1006,"&gt;0")-H721)</f>
        <v/>
      </c>
      <c r="L721" s="69">
        <f>IF(H721="","",A721&amp;"|"&amp;H721)</f>
        <v/>
      </c>
      <c r="M721" s="69">
        <f>IF(A721="","",IFERROR(INDEX(Bestand!$AC$14:$AC$213,MATCH(A721,Bestand!$A$14:$A$213,0)),0))</f>
        <v/>
      </c>
      <c r="N721" s="69">
        <f>IF(OR(H721="",M721&lt;&gt;1),"",C721+ROW()/100000)</f>
        <v/>
      </c>
    </row>
    <row r="722" ht="20" customHeight="1">
      <c r="A722" s="60" t="n"/>
      <c r="B722" s="65">
        <f>IF(A722="","",IFERROR(INDEX(Bestand!$B$14:$B$213,MATCH(A722,Bestand!$A$14:$A$213,0)),"ID unbekannt"))</f>
        <v/>
      </c>
      <c r="C722" s="63" t="n"/>
      <c r="D722" s="62" t="n"/>
      <c r="E722" s="60" t="n"/>
      <c r="F722" s="60" t="n"/>
      <c r="G722" s="61" t="n"/>
      <c r="H722" s="69">
        <f>IF(OR(A722="",C722=""),"",COUNTIFS($A$7:$A$1006,A722,$C$7:$C$1006,"&lt;"&amp;C722)+1)</f>
        <v/>
      </c>
      <c r="I722" s="67">
        <f>IF(H722="","",IF(H722=1,"",C722-_xlfn.MAXIFS($C$7:$C$1006,$A$7:$A$1006,A722,$C$7:$C$1006,"&lt;"&amp;C722)))</f>
        <v/>
      </c>
      <c r="J722" s="68">
        <f>IF(I722="","",I722/TpM)</f>
        <v/>
      </c>
      <c r="K722" s="69">
        <f>IF(H722="","",COUNTIFS($A$7:$A$1006,A722,$C$7:$C$1006,"&gt;0")-H722)</f>
        <v/>
      </c>
      <c r="L722" s="69">
        <f>IF(H722="","",A722&amp;"|"&amp;H722)</f>
        <v/>
      </c>
      <c r="M722" s="69">
        <f>IF(A722="","",IFERROR(INDEX(Bestand!$AC$14:$AC$213,MATCH(A722,Bestand!$A$14:$A$213,0)),0))</f>
        <v/>
      </c>
      <c r="N722" s="69">
        <f>IF(OR(H722="",M722&lt;&gt;1),"",C722+ROW()/100000)</f>
        <v/>
      </c>
    </row>
    <row r="723" ht="20" customHeight="1">
      <c r="A723" s="60" t="n"/>
      <c r="B723" s="65">
        <f>IF(A723="","",IFERROR(INDEX(Bestand!$B$14:$B$213,MATCH(A723,Bestand!$A$14:$A$213,0)),"ID unbekannt"))</f>
        <v/>
      </c>
      <c r="C723" s="63" t="n"/>
      <c r="D723" s="62" t="n"/>
      <c r="E723" s="60" t="n"/>
      <c r="F723" s="60" t="n"/>
      <c r="G723" s="61" t="n"/>
      <c r="H723" s="69">
        <f>IF(OR(A723="",C723=""),"",COUNTIFS($A$7:$A$1006,A723,$C$7:$C$1006,"&lt;"&amp;C723)+1)</f>
        <v/>
      </c>
      <c r="I723" s="67">
        <f>IF(H723="","",IF(H723=1,"",C723-_xlfn.MAXIFS($C$7:$C$1006,$A$7:$A$1006,A723,$C$7:$C$1006,"&lt;"&amp;C723)))</f>
        <v/>
      </c>
      <c r="J723" s="68">
        <f>IF(I723="","",I723/TpM)</f>
        <v/>
      </c>
      <c r="K723" s="69">
        <f>IF(H723="","",COUNTIFS($A$7:$A$1006,A723,$C$7:$C$1006,"&gt;0")-H723)</f>
        <v/>
      </c>
      <c r="L723" s="69">
        <f>IF(H723="","",A723&amp;"|"&amp;H723)</f>
        <v/>
      </c>
      <c r="M723" s="69">
        <f>IF(A723="","",IFERROR(INDEX(Bestand!$AC$14:$AC$213,MATCH(A723,Bestand!$A$14:$A$213,0)),0))</f>
        <v/>
      </c>
      <c r="N723" s="69">
        <f>IF(OR(H723="",M723&lt;&gt;1),"",C723+ROW()/100000)</f>
        <v/>
      </c>
    </row>
    <row r="724" ht="20" customHeight="1">
      <c r="A724" s="60" t="n"/>
      <c r="B724" s="65">
        <f>IF(A724="","",IFERROR(INDEX(Bestand!$B$14:$B$213,MATCH(A724,Bestand!$A$14:$A$213,0)),"ID unbekannt"))</f>
        <v/>
      </c>
      <c r="C724" s="63" t="n"/>
      <c r="D724" s="62" t="n"/>
      <c r="E724" s="60" t="n"/>
      <c r="F724" s="60" t="n"/>
      <c r="G724" s="61" t="n"/>
      <c r="H724" s="69">
        <f>IF(OR(A724="",C724=""),"",COUNTIFS($A$7:$A$1006,A724,$C$7:$C$1006,"&lt;"&amp;C724)+1)</f>
        <v/>
      </c>
      <c r="I724" s="67">
        <f>IF(H724="","",IF(H724=1,"",C724-_xlfn.MAXIFS($C$7:$C$1006,$A$7:$A$1006,A724,$C$7:$C$1006,"&lt;"&amp;C724)))</f>
        <v/>
      </c>
      <c r="J724" s="68">
        <f>IF(I724="","",I724/TpM)</f>
        <v/>
      </c>
      <c r="K724" s="69">
        <f>IF(H724="","",COUNTIFS($A$7:$A$1006,A724,$C$7:$C$1006,"&gt;0")-H724)</f>
        <v/>
      </c>
      <c r="L724" s="69">
        <f>IF(H724="","",A724&amp;"|"&amp;H724)</f>
        <v/>
      </c>
      <c r="M724" s="69">
        <f>IF(A724="","",IFERROR(INDEX(Bestand!$AC$14:$AC$213,MATCH(A724,Bestand!$A$14:$A$213,0)),0))</f>
        <v/>
      </c>
      <c r="N724" s="69">
        <f>IF(OR(H724="",M724&lt;&gt;1),"",C724+ROW()/100000)</f>
        <v/>
      </c>
    </row>
    <row r="725" ht="20" customHeight="1">
      <c r="A725" s="60" t="n"/>
      <c r="B725" s="65">
        <f>IF(A725="","",IFERROR(INDEX(Bestand!$B$14:$B$213,MATCH(A725,Bestand!$A$14:$A$213,0)),"ID unbekannt"))</f>
        <v/>
      </c>
      <c r="C725" s="63" t="n"/>
      <c r="D725" s="62" t="n"/>
      <c r="E725" s="60" t="n"/>
      <c r="F725" s="60" t="n"/>
      <c r="G725" s="61" t="n"/>
      <c r="H725" s="69">
        <f>IF(OR(A725="",C725=""),"",COUNTIFS($A$7:$A$1006,A725,$C$7:$C$1006,"&lt;"&amp;C725)+1)</f>
        <v/>
      </c>
      <c r="I725" s="67">
        <f>IF(H725="","",IF(H725=1,"",C725-_xlfn.MAXIFS($C$7:$C$1006,$A$7:$A$1006,A725,$C$7:$C$1006,"&lt;"&amp;C725)))</f>
        <v/>
      </c>
      <c r="J725" s="68">
        <f>IF(I725="","",I725/TpM)</f>
        <v/>
      </c>
      <c r="K725" s="69">
        <f>IF(H725="","",COUNTIFS($A$7:$A$1006,A725,$C$7:$C$1006,"&gt;0")-H725)</f>
        <v/>
      </c>
      <c r="L725" s="69">
        <f>IF(H725="","",A725&amp;"|"&amp;H725)</f>
        <v/>
      </c>
      <c r="M725" s="69">
        <f>IF(A725="","",IFERROR(INDEX(Bestand!$AC$14:$AC$213,MATCH(A725,Bestand!$A$14:$A$213,0)),0))</f>
        <v/>
      </c>
      <c r="N725" s="69">
        <f>IF(OR(H725="",M725&lt;&gt;1),"",C725+ROW()/100000)</f>
        <v/>
      </c>
    </row>
    <row r="726" ht="20" customHeight="1">
      <c r="A726" s="60" t="n"/>
      <c r="B726" s="65">
        <f>IF(A726="","",IFERROR(INDEX(Bestand!$B$14:$B$213,MATCH(A726,Bestand!$A$14:$A$213,0)),"ID unbekannt"))</f>
        <v/>
      </c>
      <c r="C726" s="63" t="n"/>
      <c r="D726" s="62" t="n"/>
      <c r="E726" s="60" t="n"/>
      <c r="F726" s="60" t="n"/>
      <c r="G726" s="61" t="n"/>
      <c r="H726" s="69">
        <f>IF(OR(A726="",C726=""),"",COUNTIFS($A$7:$A$1006,A726,$C$7:$C$1006,"&lt;"&amp;C726)+1)</f>
        <v/>
      </c>
      <c r="I726" s="67">
        <f>IF(H726="","",IF(H726=1,"",C726-_xlfn.MAXIFS($C$7:$C$1006,$A$7:$A$1006,A726,$C$7:$C$1006,"&lt;"&amp;C726)))</f>
        <v/>
      </c>
      <c r="J726" s="68">
        <f>IF(I726="","",I726/TpM)</f>
        <v/>
      </c>
      <c r="K726" s="69">
        <f>IF(H726="","",COUNTIFS($A$7:$A$1006,A726,$C$7:$C$1006,"&gt;0")-H726)</f>
        <v/>
      </c>
      <c r="L726" s="69">
        <f>IF(H726="","",A726&amp;"|"&amp;H726)</f>
        <v/>
      </c>
      <c r="M726" s="69">
        <f>IF(A726="","",IFERROR(INDEX(Bestand!$AC$14:$AC$213,MATCH(A726,Bestand!$A$14:$A$213,0)),0))</f>
        <v/>
      </c>
      <c r="N726" s="69">
        <f>IF(OR(H726="",M726&lt;&gt;1),"",C726+ROW()/100000)</f>
        <v/>
      </c>
    </row>
    <row r="727" ht="20" customHeight="1">
      <c r="A727" s="60" t="n"/>
      <c r="B727" s="65">
        <f>IF(A727="","",IFERROR(INDEX(Bestand!$B$14:$B$213,MATCH(A727,Bestand!$A$14:$A$213,0)),"ID unbekannt"))</f>
        <v/>
      </c>
      <c r="C727" s="63" t="n"/>
      <c r="D727" s="62" t="n"/>
      <c r="E727" s="60" t="n"/>
      <c r="F727" s="60" t="n"/>
      <c r="G727" s="61" t="n"/>
      <c r="H727" s="69">
        <f>IF(OR(A727="",C727=""),"",COUNTIFS($A$7:$A$1006,A727,$C$7:$C$1006,"&lt;"&amp;C727)+1)</f>
        <v/>
      </c>
      <c r="I727" s="67">
        <f>IF(H727="","",IF(H727=1,"",C727-_xlfn.MAXIFS($C$7:$C$1006,$A$7:$A$1006,A727,$C$7:$C$1006,"&lt;"&amp;C727)))</f>
        <v/>
      </c>
      <c r="J727" s="68">
        <f>IF(I727="","",I727/TpM)</f>
        <v/>
      </c>
      <c r="K727" s="69">
        <f>IF(H727="","",COUNTIFS($A$7:$A$1006,A727,$C$7:$C$1006,"&gt;0")-H727)</f>
        <v/>
      </c>
      <c r="L727" s="69">
        <f>IF(H727="","",A727&amp;"|"&amp;H727)</f>
        <v/>
      </c>
      <c r="M727" s="69">
        <f>IF(A727="","",IFERROR(INDEX(Bestand!$AC$14:$AC$213,MATCH(A727,Bestand!$A$14:$A$213,0)),0))</f>
        <v/>
      </c>
      <c r="N727" s="69">
        <f>IF(OR(H727="",M727&lt;&gt;1),"",C727+ROW()/100000)</f>
        <v/>
      </c>
    </row>
    <row r="728" ht="20" customHeight="1">
      <c r="A728" s="60" t="n"/>
      <c r="B728" s="65">
        <f>IF(A728="","",IFERROR(INDEX(Bestand!$B$14:$B$213,MATCH(A728,Bestand!$A$14:$A$213,0)),"ID unbekannt"))</f>
        <v/>
      </c>
      <c r="C728" s="63" t="n"/>
      <c r="D728" s="62" t="n"/>
      <c r="E728" s="60" t="n"/>
      <c r="F728" s="60" t="n"/>
      <c r="G728" s="61" t="n"/>
      <c r="H728" s="69">
        <f>IF(OR(A728="",C728=""),"",COUNTIFS($A$7:$A$1006,A728,$C$7:$C$1006,"&lt;"&amp;C728)+1)</f>
        <v/>
      </c>
      <c r="I728" s="67">
        <f>IF(H728="","",IF(H728=1,"",C728-_xlfn.MAXIFS($C$7:$C$1006,$A$7:$A$1006,A728,$C$7:$C$1006,"&lt;"&amp;C728)))</f>
        <v/>
      </c>
      <c r="J728" s="68">
        <f>IF(I728="","",I728/TpM)</f>
        <v/>
      </c>
      <c r="K728" s="69">
        <f>IF(H728="","",COUNTIFS($A$7:$A$1006,A728,$C$7:$C$1006,"&gt;0")-H728)</f>
        <v/>
      </c>
      <c r="L728" s="69">
        <f>IF(H728="","",A728&amp;"|"&amp;H728)</f>
        <v/>
      </c>
      <c r="M728" s="69">
        <f>IF(A728="","",IFERROR(INDEX(Bestand!$AC$14:$AC$213,MATCH(A728,Bestand!$A$14:$A$213,0)),0))</f>
        <v/>
      </c>
      <c r="N728" s="69">
        <f>IF(OR(H728="",M728&lt;&gt;1),"",C728+ROW()/100000)</f>
        <v/>
      </c>
    </row>
    <row r="729" ht="20" customHeight="1">
      <c r="A729" s="60" t="n"/>
      <c r="B729" s="65">
        <f>IF(A729="","",IFERROR(INDEX(Bestand!$B$14:$B$213,MATCH(A729,Bestand!$A$14:$A$213,0)),"ID unbekannt"))</f>
        <v/>
      </c>
      <c r="C729" s="63" t="n"/>
      <c r="D729" s="62" t="n"/>
      <c r="E729" s="60" t="n"/>
      <c r="F729" s="60" t="n"/>
      <c r="G729" s="61" t="n"/>
      <c r="H729" s="69">
        <f>IF(OR(A729="",C729=""),"",COUNTIFS($A$7:$A$1006,A729,$C$7:$C$1006,"&lt;"&amp;C729)+1)</f>
        <v/>
      </c>
      <c r="I729" s="67">
        <f>IF(H729="","",IF(H729=1,"",C729-_xlfn.MAXIFS($C$7:$C$1006,$A$7:$A$1006,A729,$C$7:$C$1006,"&lt;"&amp;C729)))</f>
        <v/>
      </c>
      <c r="J729" s="68">
        <f>IF(I729="","",I729/TpM)</f>
        <v/>
      </c>
      <c r="K729" s="69">
        <f>IF(H729="","",COUNTIFS($A$7:$A$1006,A729,$C$7:$C$1006,"&gt;0")-H729)</f>
        <v/>
      </c>
      <c r="L729" s="69">
        <f>IF(H729="","",A729&amp;"|"&amp;H729)</f>
        <v/>
      </c>
      <c r="M729" s="69">
        <f>IF(A729="","",IFERROR(INDEX(Bestand!$AC$14:$AC$213,MATCH(A729,Bestand!$A$14:$A$213,0)),0))</f>
        <v/>
      </c>
      <c r="N729" s="69">
        <f>IF(OR(H729="",M729&lt;&gt;1),"",C729+ROW()/100000)</f>
        <v/>
      </c>
    </row>
    <row r="730" ht="20" customHeight="1">
      <c r="A730" s="60" t="n"/>
      <c r="B730" s="65">
        <f>IF(A730="","",IFERROR(INDEX(Bestand!$B$14:$B$213,MATCH(A730,Bestand!$A$14:$A$213,0)),"ID unbekannt"))</f>
        <v/>
      </c>
      <c r="C730" s="63" t="n"/>
      <c r="D730" s="62" t="n"/>
      <c r="E730" s="60" t="n"/>
      <c r="F730" s="60" t="n"/>
      <c r="G730" s="61" t="n"/>
      <c r="H730" s="69">
        <f>IF(OR(A730="",C730=""),"",COUNTIFS($A$7:$A$1006,A730,$C$7:$C$1006,"&lt;"&amp;C730)+1)</f>
        <v/>
      </c>
      <c r="I730" s="67">
        <f>IF(H730="","",IF(H730=1,"",C730-_xlfn.MAXIFS($C$7:$C$1006,$A$7:$A$1006,A730,$C$7:$C$1006,"&lt;"&amp;C730)))</f>
        <v/>
      </c>
      <c r="J730" s="68">
        <f>IF(I730="","",I730/TpM)</f>
        <v/>
      </c>
      <c r="K730" s="69">
        <f>IF(H730="","",COUNTIFS($A$7:$A$1006,A730,$C$7:$C$1006,"&gt;0")-H730)</f>
        <v/>
      </c>
      <c r="L730" s="69">
        <f>IF(H730="","",A730&amp;"|"&amp;H730)</f>
        <v/>
      </c>
      <c r="M730" s="69">
        <f>IF(A730="","",IFERROR(INDEX(Bestand!$AC$14:$AC$213,MATCH(A730,Bestand!$A$14:$A$213,0)),0))</f>
        <v/>
      </c>
      <c r="N730" s="69">
        <f>IF(OR(H730="",M730&lt;&gt;1),"",C730+ROW()/100000)</f>
        <v/>
      </c>
    </row>
    <row r="731" ht="20" customHeight="1">
      <c r="A731" s="60" t="n"/>
      <c r="B731" s="65">
        <f>IF(A731="","",IFERROR(INDEX(Bestand!$B$14:$B$213,MATCH(A731,Bestand!$A$14:$A$213,0)),"ID unbekannt"))</f>
        <v/>
      </c>
      <c r="C731" s="63" t="n"/>
      <c r="D731" s="62" t="n"/>
      <c r="E731" s="60" t="n"/>
      <c r="F731" s="60" t="n"/>
      <c r="G731" s="61" t="n"/>
      <c r="H731" s="69">
        <f>IF(OR(A731="",C731=""),"",COUNTIFS($A$7:$A$1006,A731,$C$7:$C$1006,"&lt;"&amp;C731)+1)</f>
        <v/>
      </c>
      <c r="I731" s="67">
        <f>IF(H731="","",IF(H731=1,"",C731-_xlfn.MAXIFS($C$7:$C$1006,$A$7:$A$1006,A731,$C$7:$C$1006,"&lt;"&amp;C731)))</f>
        <v/>
      </c>
      <c r="J731" s="68">
        <f>IF(I731="","",I731/TpM)</f>
        <v/>
      </c>
      <c r="K731" s="69">
        <f>IF(H731="","",COUNTIFS($A$7:$A$1006,A731,$C$7:$C$1006,"&gt;0")-H731)</f>
        <v/>
      </c>
      <c r="L731" s="69">
        <f>IF(H731="","",A731&amp;"|"&amp;H731)</f>
        <v/>
      </c>
      <c r="M731" s="69">
        <f>IF(A731="","",IFERROR(INDEX(Bestand!$AC$14:$AC$213,MATCH(A731,Bestand!$A$14:$A$213,0)),0))</f>
        <v/>
      </c>
      <c r="N731" s="69">
        <f>IF(OR(H731="",M731&lt;&gt;1),"",C731+ROW()/100000)</f>
        <v/>
      </c>
    </row>
    <row r="732" ht="20" customHeight="1">
      <c r="A732" s="60" t="n"/>
      <c r="B732" s="65">
        <f>IF(A732="","",IFERROR(INDEX(Bestand!$B$14:$B$213,MATCH(A732,Bestand!$A$14:$A$213,0)),"ID unbekannt"))</f>
        <v/>
      </c>
      <c r="C732" s="63" t="n"/>
      <c r="D732" s="62" t="n"/>
      <c r="E732" s="60" t="n"/>
      <c r="F732" s="60" t="n"/>
      <c r="G732" s="61" t="n"/>
      <c r="H732" s="69">
        <f>IF(OR(A732="",C732=""),"",COUNTIFS($A$7:$A$1006,A732,$C$7:$C$1006,"&lt;"&amp;C732)+1)</f>
        <v/>
      </c>
      <c r="I732" s="67">
        <f>IF(H732="","",IF(H732=1,"",C732-_xlfn.MAXIFS($C$7:$C$1006,$A$7:$A$1006,A732,$C$7:$C$1006,"&lt;"&amp;C732)))</f>
        <v/>
      </c>
      <c r="J732" s="68">
        <f>IF(I732="","",I732/TpM)</f>
        <v/>
      </c>
      <c r="K732" s="69">
        <f>IF(H732="","",COUNTIFS($A$7:$A$1006,A732,$C$7:$C$1006,"&gt;0")-H732)</f>
        <v/>
      </c>
      <c r="L732" s="69">
        <f>IF(H732="","",A732&amp;"|"&amp;H732)</f>
        <v/>
      </c>
      <c r="M732" s="69">
        <f>IF(A732="","",IFERROR(INDEX(Bestand!$AC$14:$AC$213,MATCH(A732,Bestand!$A$14:$A$213,0)),0))</f>
        <v/>
      </c>
      <c r="N732" s="69">
        <f>IF(OR(H732="",M732&lt;&gt;1),"",C732+ROW()/100000)</f>
        <v/>
      </c>
    </row>
    <row r="733" ht="20" customHeight="1">
      <c r="A733" s="60" t="n"/>
      <c r="B733" s="65">
        <f>IF(A733="","",IFERROR(INDEX(Bestand!$B$14:$B$213,MATCH(A733,Bestand!$A$14:$A$213,0)),"ID unbekannt"))</f>
        <v/>
      </c>
      <c r="C733" s="63" t="n"/>
      <c r="D733" s="62" t="n"/>
      <c r="E733" s="60" t="n"/>
      <c r="F733" s="60" t="n"/>
      <c r="G733" s="61" t="n"/>
      <c r="H733" s="69">
        <f>IF(OR(A733="",C733=""),"",COUNTIFS($A$7:$A$1006,A733,$C$7:$C$1006,"&lt;"&amp;C733)+1)</f>
        <v/>
      </c>
      <c r="I733" s="67">
        <f>IF(H733="","",IF(H733=1,"",C733-_xlfn.MAXIFS($C$7:$C$1006,$A$7:$A$1006,A733,$C$7:$C$1006,"&lt;"&amp;C733)))</f>
        <v/>
      </c>
      <c r="J733" s="68">
        <f>IF(I733="","",I733/TpM)</f>
        <v/>
      </c>
      <c r="K733" s="69">
        <f>IF(H733="","",COUNTIFS($A$7:$A$1006,A733,$C$7:$C$1006,"&gt;0")-H733)</f>
        <v/>
      </c>
      <c r="L733" s="69">
        <f>IF(H733="","",A733&amp;"|"&amp;H733)</f>
        <v/>
      </c>
      <c r="M733" s="69">
        <f>IF(A733="","",IFERROR(INDEX(Bestand!$AC$14:$AC$213,MATCH(A733,Bestand!$A$14:$A$213,0)),0))</f>
        <v/>
      </c>
      <c r="N733" s="69">
        <f>IF(OR(H733="",M733&lt;&gt;1),"",C733+ROW()/100000)</f>
        <v/>
      </c>
    </row>
    <row r="734" ht="20" customHeight="1">
      <c r="A734" s="60" t="n"/>
      <c r="B734" s="65">
        <f>IF(A734="","",IFERROR(INDEX(Bestand!$B$14:$B$213,MATCH(A734,Bestand!$A$14:$A$213,0)),"ID unbekannt"))</f>
        <v/>
      </c>
      <c r="C734" s="63" t="n"/>
      <c r="D734" s="62" t="n"/>
      <c r="E734" s="60" t="n"/>
      <c r="F734" s="60" t="n"/>
      <c r="G734" s="61" t="n"/>
      <c r="H734" s="69">
        <f>IF(OR(A734="",C734=""),"",COUNTIFS($A$7:$A$1006,A734,$C$7:$C$1006,"&lt;"&amp;C734)+1)</f>
        <v/>
      </c>
      <c r="I734" s="67">
        <f>IF(H734="","",IF(H734=1,"",C734-_xlfn.MAXIFS($C$7:$C$1006,$A$7:$A$1006,A734,$C$7:$C$1006,"&lt;"&amp;C734)))</f>
        <v/>
      </c>
      <c r="J734" s="68">
        <f>IF(I734="","",I734/TpM)</f>
        <v/>
      </c>
      <c r="K734" s="69">
        <f>IF(H734="","",COUNTIFS($A$7:$A$1006,A734,$C$7:$C$1006,"&gt;0")-H734)</f>
        <v/>
      </c>
      <c r="L734" s="69">
        <f>IF(H734="","",A734&amp;"|"&amp;H734)</f>
        <v/>
      </c>
      <c r="M734" s="69">
        <f>IF(A734="","",IFERROR(INDEX(Bestand!$AC$14:$AC$213,MATCH(A734,Bestand!$A$14:$A$213,0)),0))</f>
        <v/>
      </c>
      <c r="N734" s="69">
        <f>IF(OR(H734="",M734&lt;&gt;1),"",C734+ROW()/100000)</f>
        <v/>
      </c>
    </row>
    <row r="735" ht="20" customHeight="1">
      <c r="A735" s="60" t="n"/>
      <c r="B735" s="65">
        <f>IF(A735="","",IFERROR(INDEX(Bestand!$B$14:$B$213,MATCH(A735,Bestand!$A$14:$A$213,0)),"ID unbekannt"))</f>
        <v/>
      </c>
      <c r="C735" s="63" t="n"/>
      <c r="D735" s="62" t="n"/>
      <c r="E735" s="60" t="n"/>
      <c r="F735" s="60" t="n"/>
      <c r="G735" s="61" t="n"/>
      <c r="H735" s="69">
        <f>IF(OR(A735="",C735=""),"",COUNTIFS($A$7:$A$1006,A735,$C$7:$C$1006,"&lt;"&amp;C735)+1)</f>
        <v/>
      </c>
      <c r="I735" s="67">
        <f>IF(H735="","",IF(H735=1,"",C735-_xlfn.MAXIFS($C$7:$C$1006,$A$7:$A$1006,A735,$C$7:$C$1006,"&lt;"&amp;C735)))</f>
        <v/>
      </c>
      <c r="J735" s="68">
        <f>IF(I735="","",I735/TpM)</f>
        <v/>
      </c>
      <c r="K735" s="69">
        <f>IF(H735="","",COUNTIFS($A$7:$A$1006,A735,$C$7:$C$1006,"&gt;0")-H735)</f>
        <v/>
      </c>
      <c r="L735" s="69">
        <f>IF(H735="","",A735&amp;"|"&amp;H735)</f>
        <v/>
      </c>
      <c r="M735" s="69">
        <f>IF(A735="","",IFERROR(INDEX(Bestand!$AC$14:$AC$213,MATCH(A735,Bestand!$A$14:$A$213,0)),0))</f>
        <v/>
      </c>
      <c r="N735" s="69">
        <f>IF(OR(H735="",M735&lt;&gt;1),"",C735+ROW()/100000)</f>
        <v/>
      </c>
    </row>
    <row r="736" ht="20" customHeight="1">
      <c r="A736" s="60" t="n"/>
      <c r="B736" s="65">
        <f>IF(A736="","",IFERROR(INDEX(Bestand!$B$14:$B$213,MATCH(A736,Bestand!$A$14:$A$213,0)),"ID unbekannt"))</f>
        <v/>
      </c>
      <c r="C736" s="63" t="n"/>
      <c r="D736" s="62" t="n"/>
      <c r="E736" s="60" t="n"/>
      <c r="F736" s="60" t="n"/>
      <c r="G736" s="61" t="n"/>
      <c r="H736" s="69">
        <f>IF(OR(A736="",C736=""),"",COUNTIFS($A$7:$A$1006,A736,$C$7:$C$1006,"&lt;"&amp;C736)+1)</f>
        <v/>
      </c>
      <c r="I736" s="67">
        <f>IF(H736="","",IF(H736=1,"",C736-_xlfn.MAXIFS($C$7:$C$1006,$A$7:$A$1006,A736,$C$7:$C$1006,"&lt;"&amp;C736)))</f>
        <v/>
      </c>
      <c r="J736" s="68">
        <f>IF(I736="","",I736/TpM)</f>
        <v/>
      </c>
      <c r="K736" s="69">
        <f>IF(H736="","",COUNTIFS($A$7:$A$1006,A736,$C$7:$C$1006,"&gt;0")-H736)</f>
        <v/>
      </c>
      <c r="L736" s="69">
        <f>IF(H736="","",A736&amp;"|"&amp;H736)</f>
        <v/>
      </c>
      <c r="M736" s="69">
        <f>IF(A736="","",IFERROR(INDEX(Bestand!$AC$14:$AC$213,MATCH(A736,Bestand!$A$14:$A$213,0)),0))</f>
        <v/>
      </c>
      <c r="N736" s="69">
        <f>IF(OR(H736="",M736&lt;&gt;1),"",C736+ROW()/100000)</f>
        <v/>
      </c>
    </row>
    <row r="737" ht="20" customHeight="1">
      <c r="A737" s="60" t="n"/>
      <c r="B737" s="65">
        <f>IF(A737="","",IFERROR(INDEX(Bestand!$B$14:$B$213,MATCH(A737,Bestand!$A$14:$A$213,0)),"ID unbekannt"))</f>
        <v/>
      </c>
      <c r="C737" s="63" t="n"/>
      <c r="D737" s="62" t="n"/>
      <c r="E737" s="60" t="n"/>
      <c r="F737" s="60" t="n"/>
      <c r="G737" s="61" t="n"/>
      <c r="H737" s="69">
        <f>IF(OR(A737="",C737=""),"",COUNTIFS($A$7:$A$1006,A737,$C$7:$C$1006,"&lt;"&amp;C737)+1)</f>
        <v/>
      </c>
      <c r="I737" s="67">
        <f>IF(H737="","",IF(H737=1,"",C737-_xlfn.MAXIFS($C$7:$C$1006,$A$7:$A$1006,A737,$C$7:$C$1006,"&lt;"&amp;C737)))</f>
        <v/>
      </c>
      <c r="J737" s="68">
        <f>IF(I737="","",I737/TpM)</f>
        <v/>
      </c>
      <c r="K737" s="69">
        <f>IF(H737="","",COUNTIFS($A$7:$A$1006,A737,$C$7:$C$1006,"&gt;0")-H737)</f>
        <v/>
      </c>
      <c r="L737" s="69">
        <f>IF(H737="","",A737&amp;"|"&amp;H737)</f>
        <v/>
      </c>
      <c r="M737" s="69">
        <f>IF(A737="","",IFERROR(INDEX(Bestand!$AC$14:$AC$213,MATCH(A737,Bestand!$A$14:$A$213,0)),0))</f>
        <v/>
      </c>
      <c r="N737" s="69">
        <f>IF(OR(H737="",M737&lt;&gt;1),"",C737+ROW()/100000)</f>
        <v/>
      </c>
    </row>
    <row r="738" ht="20" customHeight="1">
      <c r="A738" s="60" t="n"/>
      <c r="B738" s="65">
        <f>IF(A738="","",IFERROR(INDEX(Bestand!$B$14:$B$213,MATCH(A738,Bestand!$A$14:$A$213,0)),"ID unbekannt"))</f>
        <v/>
      </c>
      <c r="C738" s="63" t="n"/>
      <c r="D738" s="62" t="n"/>
      <c r="E738" s="60" t="n"/>
      <c r="F738" s="60" t="n"/>
      <c r="G738" s="61" t="n"/>
      <c r="H738" s="69">
        <f>IF(OR(A738="",C738=""),"",COUNTIFS($A$7:$A$1006,A738,$C$7:$C$1006,"&lt;"&amp;C738)+1)</f>
        <v/>
      </c>
      <c r="I738" s="67">
        <f>IF(H738="","",IF(H738=1,"",C738-_xlfn.MAXIFS($C$7:$C$1006,$A$7:$A$1006,A738,$C$7:$C$1006,"&lt;"&amp;C738)))</f>
        <v/>
      </c>
      <c r="J738" s="68">
        <f>IF(I738="","",I738/TpM)</f>
        <v/>
      </c>
      <c r="K738" s="69">
        <f>IF(H738="","",COUNTIFS($A$7:$A$1006,A738,$C$7:$C$1006,"&gt;0")-H738)</f>
        <v/>
      </c>
      <c r="L738" s="69">
        <f>IF(H738="","",A738&amp;"|"&amp;H738)</f>
        <v/>
      </c>
      <c r="M738" s="69">
        <f>IF(A738="","",IFERROR(INDEX(Bestand!$AC$14:$AC$213,MATCH(A738,Bestand!$A$14:$A$213,0)),0))</f>
        <v/>
      </c>
      <c r="N738" s="69">
        <f>IF(OR(H738="",M738&lt;&gt;1),"",C738+ROW()/100000)</f>
        <v/>
      </c>
    </row>
    <row r="739" ht="20" customHeight="1">
      <c r="A739" s="60" t="n"/>
      <c r="B739" s="65">
        <f>IF(A739="","",IFERROR(INDEX(Bestand!$B$14:$B$213,MATCH(A739,Bestand!$A$14:$A$213,0)),"ID unbekannt"))</f>
        <v/>
      </c>
      <c r="C739" s="63" t="n"/>
      <c r="D739" s="62" t="n"/>
      <c r="E739" s="60" t="n"/>
      <c r="F739" s="60" t="n"/>
      <c r="G739" s="61" t="n"/>
      <c r="H739" s="69">
        <f>IF(OR(A739="",C739=""),"",COUNTIFS($A$7:$A$1006,A739,$C$7:$C$1006,"&lt;"&amp;C739)+1)</f>
        <v/>
      </c>
      <c r="I739" s="67">
        <f>IF(H739="","",IF(H739=1,"",C739-_xlfn.MAXIFS($C$7:$C$1006,$A$7:$A$1006,A739,$C$7:$C$1006,"&lt;"&amp;C739)))</f>
        <v/>
      </c>
      <c r="J739" s="68">
        <f>IF(I739="","",I739/TpM)</f>
        <v/>
      </c>
      <c r="K739" s="69">
        <f>IF(H739="","",COUNTIFS($A$7:$A$1006,A739,$C$7:$C$1006,"&gt;0")-H739)</f>
        <v/>
      </c>
      <c r="L739" s="69">
        <f>IF(H739="","",A739&amp;"|"&amp;H739)</f>
        <v/>
      </c>
      <c r="M739" s="69">
        <f>IF(A739="","",IFERROR(INDEX(Bestand!$AC$14:$AC$213,MATCH(A739,Bestand!$A$14:$A$213,0)),0))</f>
        <v/>
      </c>
      <c r="N739" s="69">
        <f>IF(OR(H739="",M739&lt;&gt;1),"",C739+ROW()/100000)</f>
        <v/>
      </c>
    </row>
    <row r="740" ht="20" customHeight="1">
      <c r="A740" s="60" t="n"/>
      <c r="B740" s="65">
        <f>IF(A740="","",IFERROR(INDEX(Bestand!$B$14:$B$213,MATCH(A740,Bestand!$A$14:$A$213,0)),"ID unbekannt"))</f>
        <v/>
      </c>
      <c r="C740" s="63" t="n"/>
      <c r="D740" s="62" t="n"/>
      <c r="E740" s="60" t="n"/>
      <c r="F740" s="60" t="n"/>
      <c r="G740" s="61" t="n"/>
      <c r="H740" s="69">
        <f>IF(OR(A740="",C740=""),"",COUNTIFS($A$7:$A$1006,A740,$C$7:$C$1006,"&lt;"&amp;C740)+1)</f>
        <v/>
      </c>
      <c r="I740" s="67">
        <f>IF(H740="","",IF(H740=1,"",C740-_xlfn.MAXIFS($C$7:$C$1006,$A$7:$A$1006,A740,$C$7:$C$1006,"&lt;"&amp;C740)))</f>
        <v/>
      </c>
      <c r="J740" s="68">
        <f>IF(I740="","",I740/TpM)</f>
        <v/>
      </c>
      <c r="K740" s="69">
        <f>IF(H740="","",COUNTIFS($A$7:$A$1006,A740,$C$7:$C$1006,"&gt;0")-H740)</f>
        <v/>
      </c>
      <c r="L740" s="69">
        <f>IF(H740="","",A740&amp;"|"&amp;H740)</f>
        <v/>
      </c>
      <c r="M740" s="69">
        <f>IF(A740="","",IFERROR(INDEX(Bestand!$AC$14:$AC$213,MATCH(A740,Bestand!$A$14:$A$213,0)),0))</f>
        <v/>
      </c>
      <c r="N740" s="69">
        <f>IF(OR(H740="",M740&lt;&gt;1),"",C740+ROW()/100000)</f>
        <v/>
      </c>
    </row>
    <row r="741" ht="20" customHeight="1">
      <c r="A741" s="60" t="n"/>
      <c r="B741" s="65">
        <f>IF(A741="","",IFERROR(INDEX(Bestand!$B$14:$B$213,MATCH(A741,Bestand!$A$14:$A$213,0)),"ID unbekannt"))</f>
        <v/>
      </c>
      <c r="C741" s="63" t="n"/>
      <c r="D741" s="62" t="n"/>
      <c r="E741" s="60" t="n"/>
      <c r="F741" s="60" t="n"/>
      <c r="G741" s="61" t="n"/>
      <c r="H741" s="69">
        <f>IF(OR(A741="",C741=""),"",COUNTIFS($A$7:$A$1006,A741,$C$7:$C$1006,"&lt;"&amp;C741)+1)</f>
        <v/>
      </c>
      <c r="I741" s="67">
        <f>IF(H741="","",IF(H741=1,"",C741-_xlfn.MAXIFS($C$7:$C$1006,$A$7:$A$1006,A741,$C$7:$C$1006,"&lt;"&amp;C741)))</f>
        <v/>
      </c>
      <c r="J741" s="68">
        <f>IF(I741="","",I741/TpM)</f>
        <v/>
      </c>
      <c r="K741" s="69">
        <f>IF(H741="","",COUNTIFS($A$7:$A$1006,A741,$C$7:$C$1006,"&gt;0")-H741)</f>
        <v/>
      </c>
      <c r="L741" s="69">
        <f>IF(H741="","",A741&amp;"|"&amp;H741)</f>
        <v/>
      </c>
      <c r="M741" s="69">
        <f>IF(A741="","",IFERROR(INDEX(Bestand!$AC$14:$AC$213,MATCH(A741,Bestand!$A$14:$A$213,0)),0))</f>
        <v/>
      </c>
      <c r="N741" s="69">
        <f>IF(OR(H741="",M741&lt;&gt;1),"",C741+ROW()/100000)</f>
        <v/>
      </c>
    </row>
    <row r="742" ht="20" customHeight="1">
      <c r="A742" s="60" t="n"/>
      <c r="B742" s="65">
        <f>IF(A742="","",IFERROR(INDEX(Bestand!$B$14:$B$213,MATCH(A742,Bestand!$A$14:$A$213,0)),"ID unbekannt"))</f>
        <v/>
      </c>
      <c r="C742" s="63" t="n"/>
      <c r="D742" s="62" t="n"/>
      <c r="E742" s="60" t="n"/>
      <c r="F742" s="60" t="n"/>
      <c r="G742" s="61" t="n"/>
      <c r="H742" s="69">
        <f>IF(OR(A742="",C742=""),"",COUNTIFS($A$7:$A$1006,A742,$C$7:$C$1006,"&lt;"&amp;C742)+1)</f>
        <v/>
      </c>
      <c r="I742" s="67">
        <f>IF(H742="","",IF(H742=1,"",C742-_xlfn.MAXIFS($C$7:$C$1006,$A$7:$A$1006,A742,$C$7:$C$1006,"&lt;"&amp;C742)))</f>
        <v/>
      </c>
      <c r="J742" s="68">
        <f>IF(I742="","",I742/TpM)</f>
        <v/>
      </c>
      <c r="K742" s="69">
        <f>IF(H742="","",COUNTIFS($A$7:$A$1006,A742,$C$7:$C$1006,"&gt;0")-H742)</f>
        <v/>
      </c>
      <c r="L742" s="69">
        <f>IF(H742="","",A742&amp;"|"&amp;H742)</f>
        <v/>
      </c>
      <c r="M742" s="69">
        <f>IF(A742="","",IFERROR(INDEX(Bestand!$AC$14:$AC$213,MATCH(A742,Bestand!$A$14:$A$213,0)),0))</f>
        <v/>
      </c>
      <c r="N742" s="69">
        <f>IF(OR(H742="",M742&lt;&gt;1),"",C742+ROW()/100000)</f>
        <v/>
      </c>
    </row>
    <row r="743" ht="20" customHeight="1">
      <c r="A743" s="60" t="n"/>
      <c r="B743" s="65">
        <f>IF(A743="","",IFERROR(INDEX(Bestand!$B$14:$B$213,MATCH(A743,Bestand!$A$14:$A$213,0)),"ID unbekannt"))</f>
        <v/>
      </c>
      <c r="C743" s="63" t="n"/>
      <c r="D743" s="62" t="n"/>
      <c r="E743" s="60" t="n"/>
      <c r="F743" s="60" t="n"/>
      <c r="G743" s="61" t="n"/>
      <c r="H743" s="69">
        <f>IF(OR(A743="",C743=""),"",COUNTIFS($A$7:$A$1006,A743,$C$7:$C$1006,"&lt;"&amp;C743)+1)</f>
        <v/>
      </c>
      <c r="I743" s="67">
        <f>IF(H743="","",IF(H743=1,"",C743-_xlfn.MAXIFS($C$7:$C$1006,$A$7:$A$1006,A743,$C$7:$C$1006,"&lt;"&amp;C743)))</f>
        <v/>
      </c>
      <c r="J743" s="68">
        <f>IF(I743="","",I743/TpM)</f>
        <v/>
      </c>
      <c r="K743" s="69">
        <f>IF(H743="","",COUNTIFS($A$7:$A$1006,A743,$C$7:$C$1006,"&gt;0")-H743)</f>
        <v/>
      </c>
      <c r="L743" s="69">
        <f>IF(H743="","",A743&amp;"|"&amp;H743)</f>
        <v/>
      </c>
      <c r="M743" s="69">
        <f>IF(A743="","",IFERROR(INDEX(Bestand!$AC$14:$AC$213,MATCH(A743,Bestand!$A$14:$A$213,0)),0))</f>
        <v/>
      </c>
      <c r="N743" s="69">
        <f>IF(OR(H743="",M743&lt;&gt;1),"",C743+ROW()/100000)</f>
        <v/>
      </c>
    </row>
    <row r="744" ht="20" customHeight="1">
      <c r="A744" s="60" t="n"/>
      <c r="B744" s="65">
        <f>IF(A744="","",IFERROR(INDEX(Bestand!$B$14:$B$213,MATCH(A744,Bestand!$A$14:$A$213,0)),"ID unbekannt"))</f>
        <v/>
      </c>
      <c r="C744" s="63" t="n"/>
      <c r="D744" s="62" t="n"/>
      <c r="E744" s="60" t="n"/>
      <c r="F744" s="60" t="n"/>
      <c r="G744" s="61" t="n"/>
      <c r="H744" s="69">
        <f>IF(OR(A744="",C744=""),"",COUNTIFS($A$7:$A$1006,A744,$C$7:$C$1006,"&lt;"&amp;C744)+1)</f>
        <v/>
      </c>
      <c r="I744" s="67">
        <f>IF(H744="","",IF(H744=1,"",C744-_xlfn.MAXIFS($C$7:$C$1006,$A$7:$A$1006,A744,$C$7:$C$1006,"&lt;"&amp;C744)))</f>
        <v/>
      </c>
      <c r="J744" s="68">
        <f>IF(I744="","",I744/TpM)</f>
        <v/>
      </c>
      <c r="K744" s="69">
        <f>IF(H744="","",COUNTIFS($A$7:$A$1006,A744,$C$7:$C$1006,"&gt;0")-H744)</f>
        <v/>
      </c>
      <c r="L744" s="69">
        <f>IF(H744="","",A744&amp;"|"&amp;H744)</f>
        <v/>
      </c>
      <c r="M744" s="69">
        <f>IF(A744="","",IFERROR(INDEX(Bestand!$AC$14:$AC$213,MATCH(A744,Bestand!$A$14:$A$213,0)),0))</f>
        <v/>
      </c>
      <c r="N744" s="69">
        <f>IF(OR(H744="",M744&lt;&gt;1),"",C744+ROW()/100000)</f>
        <v/>
      </c>
    </row>
    <row r="745" ht="20" customHeight="1">
      <c r="A745" s="60" t="n"/>
      <c r="B745" s="65">
        <f>IF(A745="","",IFERROR(INDEX(Bestand!$B$14:$B$213,MATCH(A745,Bestand!$A$14:$A$213,0)),"ID unbekannt"))</f>
        <v/>
      </c>
      <c r="C745" s="63" t="n"/>
      <c r="D745" s="62" t="n"/>
      <c r="E745" s="60" t="n"/>
      <c r="F745" s="60" t="n"/>
      <c r="G745" s="61" t="n"/>
      <c r="H745" s="69">
        <f>IF(OR(A745="",C745=""),"",COUNTIFS($A$7:$A$1006,A745,$C$7:$C$1006,"&lt;"&amp;C745)+1)</f>
        <v/>
      </c>
      <c r="I745" s="67">
        <f>IF(H745="","",IF(H745=1,"",C745-_xlfn.MAXIFS($C$7:$C$1006,$A$7:$A$1006,A745,$C$7:$C$1006,"&lt;"&amp;C745)))</f>
        <v/>
      </c>
      <c r="J745" s="68">
        <f>IF(I745="","",I745/TpM)</f>
        <v/>
      </c>
      <c r="K745" s="69">
        <f>IF(H745="","",COUNTIFS($A$7:$A$1006,A745,$C$7:$C$1006,"&gt;0")-H745)</f>
        <v/>
      </c>
      <c r="L745" s="69">
        <f>IF(H745="","",A745&amp;"|"&amp;H745)</f>
        <v/>
      </c>
      <c r="M745" s="69">
        <f>IF(A745="","",IFERROR(INDEX(Bestand!$AC$14:$AC$213,MATCH(A745,Bestand!$A$14:$A$213,0)),0))</f>
        <v/>
      </c>
      <c r="N745" s="69">
        <f>IF(OR(H745="",M745&lt;&gt;1),"",C745+ROW()/100000)</f>
        <v/>
      </c>
    </row>
    <row r="746" ht="20" customHeight="1">
      <c r="A746" s="60" t="n"/>
      <c r="B746" s="65">
        <f>IF(A746="","",IFERROR(INDEX(Bestand!$B$14:$B$213,MATCH(A746,Bestand!$A$14:$A$213,0)),"ID unbekannt"))</f>
        <v/>
      </c>
      <c r="C746" s="63" t="n"/>
      <c r="D746" s="62" t="n"/>
      <c r="E746" s="60" t="n"/>
      <c r="F746" s="60" t="n"/>
      <c r="G746" s="61" t="n"/>
      <c r="H746" s="69">
        <f>IF(OR(A746="",C746=""),"",COUNTIFS($A$7:$A$1006,A746,$C$7:$C$1006,"&lt;"&amp;C746)+1)</f>
        <v/>
      </c>
      <c r="I746" s="67">
        <f>IF(H746="","",IF(H746=1,"",C746-_xlfn.MAXIFS($C$7:$C$1006,$A$7:$A$1006,A746,$C$7:$C$1006,"&lt;"&amp;C746)))</f>
        <v/>
      </c>
      <c r="J746" s="68">
        <f>IF(I746="","",I746/TpM)</f>
        <v/>
      </c>
      <c r="K746" s="69">
        <f>IF(H746="","",COUNTIFS($A$7:$A$1006,A746,$C$7:$C$1006,"&gt;0")-H746)</f>
        <v/>
      </c>
      <c r="L746" s="69">
        <f>IF(H746="","",A746&amp;"|"&amp;H746)</f>
        <v/>
      </c>
      <c r="M746" s="69">
        <f>IF(A746="","",IFERROR(INDEX(Bestand!$AC$14:$AC$213,MATCH(A746,Bestand!$A$14:$A$213,0)),0))</f>
        <v/>
      </c>
      <c r="N746" s="69">
        <f>IF(OR(H746="",M746&lt;&gt;1),"",C746+ROW()/100000)</f>
        <v/>
      </c>
    </row>
    <row r="747" ht="20" customHeight="1">
      <c r="A747" s="60" t="n"/>
      <c r="B747" s="65">
        <f>IF(A747="","",IFERROR(INDEX(Bestand!$B$14:$B$213,MATCH(A747,Bestand!$A$14:$A$213,0)),"ID unbekannt"))</f>
        <v/>
      </c>
      <c r="C747" s="63" t="n"/>
      <c r="D747" s="62" t="n"/>
      <c r="E747" s="60" t="n"/>
      <c r="F747" s="60" t="n"/>
      <c r="G747" s="61" t="n"/>
      <c r="H747" s="69">
        <f>IF(OR(A747="",C747=""),"",COUNTIFS($A$7:$A$1006,A747,$C$7:$C$1006,"&lt;"&amp;C747)+1)</f>
        <v/>
      </c>
      <c r="I747" s="67">
        <f>IF(H747="","",IF(H747=1,"",C747-_xlfn.MAXIFS($C$7:$C$1006,$A$7:$A$1006,A747,$C$7:$C$1006,"&lt;"&amp;C747)))</f>
        <v/>
      </c>
      <c r="J747" s="68">
        <f>IF(I747="","",I747/TpM)</f>
        <v/>
      </c>
      <c r="K747" s="69">
        <f>IF(H747="","",COUNTIFS($A$7:$A$1006,A747,$C$7:$C$1006,"&gt;0")-H747)</f>
        <v/>
      </c>
      <c r="L747" s="69">
        <f>IF(H747="","",A747&amp;"|"&amp;H747)</f>
        <v/>
      </c>
      <c r="M747" s="69">
        <f>IF(A747="","",IFERROR(INDEX(Bestand!$AC$14:$AC$213,MATCH(A747,Bestand!$A$14:$A$213,0)),0))</f>
        <v/>
      </c>
      <c r="N747" s="69">
        <f>IF(OR(H747="",M747&lt;&gt;1),"",C747+ROW()/100000)</f>
        <v/>
      </c>
    </row>
    <row r="748" ht="20" customHeight="1">
      <c r="A748" s="60" t="n"/>
      <c r="B748" s="65">
        <f>IF(A748="","",IFERROR(INDEX(Bestand!$B$14:$B$213,MATCH(A748,Bestand!$A$14:$A$213,0)),"ID unbekannt"))</f>
        <v/>
      </c>
      <c r="C748" s="63" t="n"/>
      <c r="D748" s="62" t="n"/>
      <c r="E748" s="60" t="n"/>
      <c r="F748" s="60" t="n"/>
      <c r="G748" s="61" t="n"/>
      <c r="H748" s="69">
        <f>IF(OR(A748="",C748=""),"",COUNTIFS($A$7:$A$1006,A748,$C$7:$C$1006,"&lt;"&amp;C748)+1)</f>
        <v/>
      </c>
      <c r="I748" s="67">
        <f>IF(H748="","",IF(H748=1,"",C748-_xlfn.MAXIFS($C$7:$C$1006,$A$7:$A$1006,A748,$C$7:$C$1006,"&lt;"&amp;C748)))</f>
        <v/>
      </c>
      <c r="J748" s="68">
        <f>IF(I748="","",I748/TpM)</f>
        <v/>
      </c>
      <c r="K748" s="69">
        <f>IF(H748="","",COUNTIFS($A$7:$A$1006,A748,$C$7:$C$1006,"&gt;0")-H748)</f>
        <v/>
      </c>
      <c r="L748" s="69">
        <f>IF(H748="","",A748&amp;"|"&amp;H748)</f>
        <v/>
      </c>
      <c r="M748" s="69">
        <f>IF(A748="","",IFERROR(INDEX(Bestand!$AC$14:$AC$213,MATCH(A748,Bestand!$A$14:$A$213,0)),0))</f>
        <v/>
      </c>
      <c r="N748" s="69">
        <f>IF(OR(H748="",M748&lt;&gt;1),"",C748+ROW()/100000)</f>
        <v/>
      </c>
    </row>
    <row r="749" ht="20" customHeight="1">
      <c r="A749" s="60" t="n"/>
      <c r="B749" s="65">
        <f>IF(A749="","",IFERROR(INDEX(Bestand!$B$14:$B$213,MATCH(A749,Bestand!$A$14:$A$213,0)),"ID unbekannt"))</f>
        <v/>
      </c>
      <c r="C749" s="63" t="n"/>
      <c r="D749" s="62" t="n"/>
      <c r="E749" s="60" t="n"/>
      <c r="F749" s="60" t="n"/>
      <c r="G749" s="61" t="n"/>
      <c r="H749" s="69">
        <f>IF(OR(A749="",C749=""),"",COUNTIFS($A$7:$A$1006,A749,$C$7:$C$1006,"&lt;"&amp;C749)+1)</f>
        <v/>
      </c>
      <c r="I749" s="67">
        <f>IF(H749="","",IF(H749=1,"",C749-_xlfn.MAXIFS($C$7:$C$1006,$A$7:$A$1006,A749,$C$7:$C$1006,"&lt;"&amp;C749)))</f>
        <v/>
      </c>
      <c r="J749" s="68">
        <f>IF(I749="","",I749/TpM)</f>
        <v/>
      </c>
      <c r="K749" s="69">
        <f>IF(H749="","",COUNTIFS($A$7:$A$1006,A749,$C$7:$C$1006,"&gt;0")-H749)</f>
        <v/>
      </c>
      <c r="L749" s="69">
        <f>IF(H749="","",A749&amp;"|"&amp;H749)</f>
        <v/>
      </c>
      <c r="M749" s="69">
        <f>IF(A749="","",IFERROR(INDEX(Bestand!$AC$14:$AC$213,MATCH(A749,Bestand!$A$14:$A$213,0)),0))</f>
        <v/>
      </c>
      <c r="N749" s="69">
        <f>IF(OR(H749="",M749&lt;&gt;1),"",C749+ROW()/100000)</f>
        <v/>
      </c>
    </row>
    <row r="750" ht="20" customHeight="1">
      <c r="A750" s="60" t="n"/>
      <c r="B750" s="65">
        <f>IF(A750="","",IFERROR(INDEX(Bestand!$B$14:$B$213,MATCH(A750,Bestand!$A$14:$A$213,0)),"ID unbekannt"))</f>
        <v/>
      </c>
      <c r="C750" s="63" t="n"/>
      <c r="D750" s="62" t="n"/>
      <c r="E750" s="60" t="n"/>
      <c r="F750" s="60" t="n"/>
      <c r="G750" s="61" t="n"/>
      <c r="H750" s="69">
        <f>IF(OR(A750="",C750=""),"",COUNTIFS($A$7:$A$1006,A750,$C$7:$C$1006,"&lt;"&amp;C750)+1)</f>
        <v/>
      </c>
      <c r="I750" s="67">
        <f>IF(H750="","",IF(H750=1,"",C750-_xlfn.MAXIFS($C$7:$C$1006,$A$7:$A$1006,A750,$C$7:$C$1006,"&lt;"&amp;C750)))</f>
        <v/>
      </c>
      <c r="J750" s="68">
        <f>IF(I750="","",I750/TpM)</f>
        <v/>
      </c>
      <c r="K750" s="69">
        <f>IF(H750="","",COUNTIFS($A$7:$A$1006,A750,$C$7:$C$1006,"&gt;0")-H750)</f>
        <v/>
      </c>
      <c r="L750" s="69">
        <f>IF(H750="","",A750&amp;"|"&amp;H750)</f>
        <v/>
      </c>
      <c r="M750" s="69">
        <f>IF(A750="","",IFERROR(INDEX(Bestand!$AC$14:$AC$213,MATCH(A750,Bestand!$A$14:$A$213,0)),0))</f>
        <v/>
      </c>
      <c r="N750" s="69">
        <f>IF(OR(H750="",M750&lt;&gt;1),"",C750+ROW()/100000)</f>
        <v/>
      </c>
    </row>
    <row r="751" ht="20" customHeight="1">
      <c r="A751" s="60" t="n"/>
      <c r="B751" s="65">
        <f>IF(A751="","",IFERROR(INDEX(Bestand!$B$14:$B$213,MATCH(A751,Bestand!$A$14:$A$213,0)),"ID unbekannt"))</f>
        <v/>
      </c>
      <c r="C751" s="63" t="n"/>
      <c r="D751" s="62" t="n"/>
      <c r="E751" s="60" t="n"/>
      <c r="F751" s="60" t="n"/>
      <c r="G751" s="61" t="n"/>
      <c r="H751" s="69">
        <f>IF(OR(A751="",C751=""),"",COUNTIFS($A$7:$A$1006,A751,$C$7:$C$1006,"&lt;"&amp;C751)+1)</f>
        <v/>
      </c>
      <c r="I751" s="67">
        <f>IF(H751="","",IF(H751=1,"",C751-_xlfn.MAXIFS($C$7:$C$1006,$A$7:$A$1006,A751,$C$7:$C$1006,"&lt;"&amp;C751)))</f>
        <v/>
      </c>
      <c r="J751" s="68">
        <f>IF(I751="","",I751/TpM)</f>
        <v/>
      </c>
      <c r="K751" s="69">
        <f>IF(H751="","",COUNTIFS($A$7:$A$1006,A751,$C$7:$C$1006,"&gt;0")-H751)</f>
        <v/>
      </c>
      <c r="L751" s="69">
        <f>IF(H751="","",A751&amp;"|"&amp;H751)</f>
        <v/>
      </c>
      <c r="M751" s="69">
        <f>IF(A751="","",IFERROR(INDEX(Bestand!$AC$14:$AC$213,MATCH(A751,Bestand!$A$14:$A$213,0)),0))</f>
        <v/>
      </c>
      <c r="N751" s="69">
        <f>IF(OR(H751="",M751&lt;&gt;1),"",C751+ROW()/100000)</f>
        <v/>
      </c>
    </row>
    <row r="752" ht="20" customHeight="1">
      <c r="A752" s="60" t="n"/>
      <c r="B752" s="65">
        <f>IF(A752="","",IFERROR(INDEX(Bestand!$B$14:$B$213,MATCH(A752,Bestand!$A$14:$A$213,0)),"ID unbekannt"))</f>
        <v/>
      </c>
      <c r="C752" s="63" t="n"/>
      <c r="D752" s="62" t="n"/>
      <c r="E752" s="60" t="n"/>
      <c r="F752" s="60" t="n"/>
      <c r="G752" s="61" t="n"/>
      <c r="H752" s="69">
        <f>IF(OR(A752="",C752=""),"",COUNTIFS($A$7:$A$1006,A752,$C$7:$C$1006,"&lt;"&amp;C752)+1)</f>
        <v/>
      </c>
      <c r="I752" s="67">
        <f>IF(H752="","",IF(H752=1,"",C752-_xlfn.MAXIFS($C$7:$C$1006,$A$7:$A$1006,A752,$C$7:$C$1006,"&lt;"&amp;C752)))</f>
        <v/>
      </c>
      <c r="J752" s="68">
        <f>IF(I752="","",I752/TpM)</f>
        <v/>
      </c>
      <c r="K752" s="69">
        <f>IF(H752="","",COUNTIFS($A$7:$A$1006,A752,$C$7:$C$1006,"&gt;0")-H752)</f>
        <v/>
      </c>
      <c r="L752" s="69">
        <f>IF(H752="","",A752&amp;"|"&amp;H752)</f>
        <v/>
      </c>
      <c r="M752" s="69">
        <f>IF(A752="","",IFERROR(INDEX(Bestand!$AC$14:$AC$213,MATCH(A752,Bestand!$A$14:$A$213,0)),0))</f>
        <v/>
      </c>
      <c r="N752" s="69">
        <f>IF(OR(H752="",M752&lt;&gt;1),"",C752+ROW()/100000)</f>
        <v/>
      </c>
    </row>
    <row r="753" ht="20" customHeight="1">
      <c r="A753" s="60" t="n"/>
      <c r="B753" s="65">
        <f>IF(A753="","",IFERROR(INDEX(Bestand!$B$14:$B$213,MATCH(A753,Bestand!$A$14:$A$213,0)),"ID unbekannt"))</f>
        <v/>
      </c>
      <c r="C753" s="63" t="n"/>
      <c r="D753" s="62" t="n"/>
      <c r="E753" s="60" t="n"/>
      <c r="F753" s="60" t="n"/>
      <c r="G753" s="61" t="n"/>
      <c r="H753" s="69">
        <f>IF(OR(A753="",C753=""),"",COUNTIFS($A$7:$A$1006,A753,$C$7:$C$1006,"&lt;"&amp;C753)+1)</f>
        <v/>
      </c>
      <c r="I753" s="67">
        <f>IF(H753="","",IF(H753=1,"",C753-_xlfn.MAXIFS($C$7:$C$1006,$A$7:$A$1006,A753,$C$7:$C$1006,"&lt;"&amp;C753)))</f>
        <v/>
      </c>
      <c r="J753" s="68">
        <f>IF(I753="","",I753/TpM)</f>
        <v/>
      </c>
      <c r="K753" s="69">
        <f>IF(H753="","",COUNTIFS($A$7:$A$1006,A753,$C$7:$C$1006,"&gt;0")-H753)</f>
        <v/>
      </c>
      <c r="L753" s="69">
        <f>IF(H753="","",A753&amp;"|"&amp;H753)</f>
        <v/>
      </c>
      <c r="M753" s="69">
        <f>IF(A753="","",IFERROR(INDEX(Bestand!$AC$14:$AC$213,MATCH(A753,Bestand!$A$14:$A$213,0)),0))</f>
        <v/>
      </c>
      <c r="N753" s="69">
        <f>IF(OR(H753="",M753&lt;&gt;1),"",C753+ROW()/100000)</f>
        <v/>
      </c>
    </row>
    <row r="754" ht="20" customHeight="1">
      <c r="A754" s="60" t="n"/>
      <c r="B754" s="65">
        <f>IF(A754="","",IFERROR(INDEX(Bestand!$B$14:$B$213,MATCH(A754,Bestand!$A$14:$A$213,0)),"ID unbekannt"))</f>
        <v/>
      </c>
      <c r="C754" s="63" t="n"/>
      <c r="D754" s="62" t="n"/>
      <c r="E754" s="60" t="n"/>
      <c r="F754" s="60" t="n"/>
      <c r="G754" s="61" t="n"/>
      <c r="H754" s="69">
        <f>IF(OR(A754="",C754=""),"",COUNTIFS($A$7:$A$1006,A754,$C$7:$C$1006,"&lt;"&amp;C754)+1)</f>
        <v/>
      </c>
      <c r="I754" s="67">
        <f>IF(H754="","",IF(H754=1,"",C754-_xlfn.MAXIFS($C$7:$C$1006,$A$7:$A$1006,A754,$C$7:$C$1006,"&lt;"&amp;C754)))</f>
        <v/>
      </c>
      <c r="J754" s="68">
        <f>IF(I754="","",I754/TpM)</f>
        <v/>
      </c>
      <c r="K754" s="69">
        <f>IF(H754="","",COUNTIFS($A$7:$A$1006,A754,$C$7:$C$1006,"&gt;0")-H754)</f>
        <v/>
      </c>
      <c r="L754" s="69">
        <f>IF(H754="","",A754&amp;"|"&amp;H754)</f>
        <v/>
      </c>
      <c r="M754" s="69">
        <f>IF(A754="","",IFERROR(INDEX(Bestand!$AC$14:$AC$213,MATCH(A754,Bestand!$A$14:$A$213,0)),0))</f>
        <v/>
      </c>
      <c r="N754" s="69">
        <f>IF(OR(H754="",M754&lt;&gt;1),"",C754+ROW()/100000)</f>
        <v/>
      </c>
    </row>
    <row r="755" ht="20" customHeight="1">
      <c r="A755" s="60" t="n"/>
      <c r="B755" s="65">
        <f>IF(A755="","",IFERROR(INDEX(Bestand!$B$14:$B$213,MATCH(A755,Bestand!$A$14:$A$213,0)),"ID unbekannt"))</f>
        <v/>
      </c>
      <c r="C755" s="63" t="n"/>
      <c r="D755" s="62" t="n"/>
      <c r="E755" s="60" t="n"/>
      <c r="F755" s="60" t="n"/>
      <c r="G755" s="61" t="n"/>
      <c r="H755" s="69">
        <f>IF(OR(A755="",C755=""),"",COUNTIFS($A$7:$A$1006,A755,$C$7:$C$1006,"&lt;"&amp;C755)+1)</f>
        <v/>
      </c>
      <c r="I755" s="67">
        <f>IF(H755="","",IF(H755=1,"",C755-_xlfn.MAXIFS($C$7:$C$1006,$A$7:$A$1006,A755,$C$7:$C$1006,"&lt;"&amp;C755)))</f>
        <v/>
      </c>
      <c r="J755" s="68">
        <f>IF(I755="","",I755/TpM)</f>
        <v/>
      </c>
      <c r="K755" s="69">
        <f>IF(H755="","",COUNTIFS($A$7:$A$1006,A755,$C$7:$C$1006,"&gt;0")-H755)</f>
        <v/>
      </c>
      <c r="L755" s="69">
        <f>IF(H755="","",A755&amp;"|"&amp;H755)</f>
        <v/>
      </c>
      <c r="M755" s="69">
        <f>IF(A755="","",IFERROR(INDEX(Bestand!$AC$14:$AC$213,MATCH(A755,Bestand!$A$14:$A$213,0)),0))</f>
        <v/>
      </c>
      <c r="N755" s="69">
        <f>IF(OR(H755="",M755&lt;&gt;1),"",C755+ROW()/100000)</f>
        <v/>
      </c>
    </row>
    <row r="756" ht="20" customHeight="1">
      <c r="A756" s="60" t="n"/>
      <c r="B756" s="65">
        <f>IF(A756="","",IFERROR(INDEX(Bestand!$B$14:$B$213,MATCH(A756,Bestand!$A$14:$A$213,0)),"ID unbekannt"))</f>
        <v/>
      </c>
      <c r="C756" s="63" t="n"/>
      <c r="D756" s="62" t="n"/>
      <c r="E756" s="60" t="n"/>
      <c r="F756" s="60" t="n"/>
      <c r="G756" s="61" t="n"/>
      <c r="H756" s="69">
        <f>IF(OR(A756="",C756=""),"",COUNTIFS($A$7:$A$1006,A756,$C$7:$C$1006,"&lt;"&amp;C756)+1)</f>
        <v/>
      </c>
      <c r="I756" s="67">
        <f>IF(H756="","",IF(H756=1,"",C756-_xlfn.MAXIFS($C$7:$C$1006,$A$7:$A$1006,A756,$C$7:$C$1006,"&lt;"&amp;C756)))</f>
        <v/>
      </c>
      <c r="J756" s="68">
        <f>IF(I756="","",I756/TpM)</f>
        <v/>
      </c>
      <c r="K756" s="69">
        <f>IF(H756="","",COUNTIFS($A$7:$A$1006,A756,$C$7:$C$1006,"&gt;0")-H756)</f>
        <v/>
      </c>
      <c r="L756" s="69">
        <f>IF(H756="","",A756&amp;"|"&amp;H756)</f>
        <v/>
      </c>
      <c r="M756" s="69">
        <f>IF(A756="","",IFERROR(INDEX(Bestand!$AC$14:$AC$213,MATCH(A756,Bestand!$A$14:$A$213,0)),0))</f>
        <v/>
      </c>
      <c r="N756" s="69">
        <f>IF(OR(H756="",M756&lt;&gt;1),"",C756+ROW()/100000)</f>
        <v/>
      </c>
    </row>
    <row r="757" ht="20" customHeight="1">
      <c r="A757" s="60" t="n"/>
      <c r="B757" s="65">
        <f>IF(A757="","",IFERROR(INDEX(Bestand!$B$14:$B$213,MATCH(A757,Bestand!$A$14:$A$213,0)),"ID unbekannt"))</f>
        <v/>
      </c>
      <c r="C757" s="63" t="n"/>
      <c r="D757" s="62" t="n"/>
      <c r="E757" s="60" t="n"/>
      <c r="F757" s="60" t="n"/>
      <c r="G757" s="61" t="n"/>
      <c r="H757" s="69">
        <f>IF(OR(A757="",C757=""),"",COUNTIFS($A$7:$A$1006,A757,$C$7:$C$1006,"&lt;"&amp;C757)+1)</f>
        <v/>
      </c>
      <c r="I757" s="67">
        <f>IF(H757="","",IF(H757=1,"",C757-_xlfn.MAXIFS($C$7:$C$1006,$A$7:$A$1006,A757,$C$7:$C$1006,"&lt;"&amp;C757)))</f>
        <v/>
      </c>
      <c r="J757" s="68">
        <f>IF(I757="","",I757/TpM)</f>
        <v/>
      </c>
      <c r="K757" s="69">
        <f>IF(H757="","",COUNTIFS($A$7:$A$1006,A757,$C$7:$C$1006,"&gt;0")-H757)</f>
        <v/>
      </c>
      <c r="L757" s="69">
        <f>IF(H757="","",A757&amp;"|"&amp;H757)</f>
        <v/>
      </c>
      <c r="M757" s="69">
        <f>IF(A757="","",IFERROR(INDEX(Bestand!$AC$14:$AC$213,MATCH(A757,Bestand!$A$14:$A$213,0)),0))</f>
        <v/>
      </c>
      <c r="N757" s="69">
        <f>IF(OR(H757="",M757&lt;&gt;1),"",C757+ROW()/100000)</f>
        <v/>
      </c>
    </row>
    <row r="758" ht="20" customHeight="1">
      <c r="A758" s="60" t="n"/>
      <c r="B758" s="65">
        <f>IF(A758="","",IFERROR(INDEX(Bestand!$B$14:$B$213,MATCH(A758,Bestand!$A$14:$A$213,0)),"ID unbekannt"))</f>
        <v/>
      </c>
      <c r="C758" s="63" t="n"/>
      <c r="D758" s="62" t="n"/>
      <c r="E758" s="60" t="n"/>
      <c r="F758" s="60" t="n"/>
      <c r="G758" s="61" t="n"/>
      <c r="H758" s="69">
        <f>IF(OR(A758="",C758=""),"",COUNTIFS($A$7:$A$1006,A758,$C$7:$C$1006,"&lt;"&amp;C758)+1)</f>
        <v/>
      </c>
      <c r="I758" s="67">
        <f>IF(H758="","",IF(H758=1,"",C758-_xlfn.MAXIFS($C$7:$C$1006,$A$7:$A$1006,A758,$C$7:$C$1006,"&lt;"&amp;C758)))</f>
        <v/>
      </c>
      <c r="J758" s="68">
        <f>IF(I758="","",I758/TpM)</f>
        <v/>
      </c>
      <c r="K758" s="69">
        <f>IF(H758="","",COUNTIFS($A$7:$A$1006,A758,$C$7:$C$1006,"&gt;0")-H758)</f>
        <v/>
      </c>
      <c r="L758" s="69">
        <f>IF(H758="","",A758&amp;"|"&amp;H758)</f>
        <v/>
      </c>
      <c r="M758" s="69">
        <f>IF(A758="","",IFERROR(INDEX(Bestand!$AC$14:$AC$213,MATCH(A758,Bestand!$A$14:$A$213,0)),0))</f>
        <v/>
      </c>
      <c r="N758" s="69">
        <f>IF(OR(H758="",M758&lt;&gt;1),"",C758+ROW()/100000)</f>
        <v/>
      </c>
    </row>
    <row r="759" ht="20" customHeight="1">
      <c r="A759" s="60" t="n"/>
      <c r="B759" s="65">
        <f>IF(A759="","",IFERROR(INDEX(Bestand!$B$14:$B$213,MATCH(A759,Bestand!$A$14:$A$213,0)),"ID unbekannt"))</f>
        <v/>
      </c>
      <c r="C759" s="63" t="n"/>
      <c r="D759" s="62" t="n"/>
      <c r="E759" s="60" t="n"/>
      <c r="F759" s="60" t="n"/>
      <c r="G759" s="61" t="n"/>
      <c r="H759" s="69">
        <f>IF(OR(A759="",C759=""),"",COUNTIFS($A$7:$A$1006,A759,$C$7:$C$1006,"&lt;"&amp;C759)+1)</f>
        <v/>
      </c>
      <c r="I759" s="67">
        <f>IF(H759="","",IF(H759=1,"",C759-_xlfn.MAXIFS($C$7:$C$1006,$A$7:$A$1006,A759,$C$7:$C$1006,"&lt;"&amp;C759)))</f>
        <v/>
      </c>
      <c r="J759" s="68">
        <f>IF(I759="","",I759/TpM)</f>
        <v/>
      </c>
      <c r="K759" s="69">
        <f>IF(H759="","",COUNTIFS($A$7:$A$1006,A759,$C$7:$C$1006,"&gt;0")-H759)</f>
        <v/>
      </c>
      <c r="L759" s="69">
        <f>IF(H759="","",A759&amp;"|"&amp;H759)</f>
        <v/>
      </c>
      <c r="M759" s="69">
        <f>IF(A759="","",IFERROR(INDEX(Bestand!$AC$14:$AC$213,MATCH(A759,Bestand!$A$14:$A$213,0)),0))</f>
        <v/>
      </c>
      <c r="N759" s="69">
        <f>IF(OR(H759="",M759&lt;&gt;1),"",C759+ROW()/100000)</f>
        <v/>
      </c>
    </row>
    <row r="760" ht="20" customHeight="1">
      <c r="A760" s="60" t="n"/>
      <c r="B760" s="65">
        <f>IF(A760="","",IFERROR(INDEX(Bestand!$B$14:$B$213,MATCH(A760,Bestand!$A$14:$A$213,0)),"ID unbekannt"))</f>
        <v/>
      </c>
      <c r="C760" s="63" t="n"/>
      <c r="D760" s="62" t="n"/>
      <c r="E760" s="60" t="n"/>
      <c r="F760" s="60" t="n"/>
      <c r="G760" s="61" t="n"/>
      <c r="H760" s="69">
        <f>IF(OR(A760="",C760=""),"",COUNTIFS($A$7:$A$1006,A760,$C$7:$C$1006,"&lt;"&amp;C760)+1)</f>
        <v/>
      </c>
      <c r="I760" s="67">
        <f>IF(H760="","",IF(H760=1,"",C760-_xlfn.MAXIFS($C$7:$C$1006,$A$7:$A$1006,A760,$C$7:$C$1006,"&lt;"&amp;C760)))</f>
        <v/>
      </c>
      <c r="J760" s="68">
        <f>IF(I760="","",I760/TpM)</f>
        <v/>
      </c>
      <c r="K760" s="69">
        <f>IF(H760="","",COUNTIFS($A$7:$A$1006,A760,$C$7:$C$1006,"&gt;0")-H760)</f>
        <v/>
      </c>
      <c r="L760" s="69">
        <f>IF(H760="","",A760&amp;"|"&amp;H760)</f>
        <v/>
      </c>
      <c r="M760" s="69">
        <f>IF(A760="","",IFERROR(INDEX(Bestand!$AC$14:$AC$213,MATCH(A760,Bestand!$A$14:$A$213,0)),0))</f>
        <v/>
      </c>
      <c r="N760" s="69">
        <f>IF(OR(H760="",M760&lt;&gt;1),"",C760+ROW()/100000)</f>
        <v/>
      </c>
    </row>
    <row r="761" ht="20" customHeight="1">
      <c r="A761" s="60" t="n"/>
      <c r="B761" s="65">
        <f>IF(A761="","",IFERROR(INDEX(Bestand!$B$14:$B$213,MATCH(A761,Bestand!$A$14:$A$213,0)),"ID unbekannt"))</f>
        <v/>
      </c>
      <c r="C761" s="63" t="n"/>
      <c r="D761" s="62" t="n"/>
      <c r="E761" s="60" t="n"/>
      <c r="F761" s="60" t="n"/>
      <c r="G761" s="61" t="n"/>
      <c r="H761" s="69">
        <f>IF(OR(A761="",C761=""),"",COUNTIFS($A$7:$A$1006,A761,$C$7:$C$1006,"&lt;"&amp;C761)+1)</f>
        <v/>
      </c>
      <c r="I761" s="67">
        <f>IF(H761="","",IF(H761=1,"",C761-_xlfn.MAXIFS($C$7:$C$1006,$A$7:$A$1006,A761,$C$7:$C$1006,"&lt;"&amp;C761)))</f>
        <v/>
      </c>
      <c r="J761" s="68">
        <f>IF(I761="","",I761/TpM)</f>
        <v/>
      </c>
      <c r="K761" s="69">
        <f>IF(H761="","",COUNTIFS($A$7:$A$1006,A761,$C$7:$C$1006,"&gt;0")-H761)</f>
        <v/>
      </c>
      <c r="L761" s="69">
        <f>IF(H761="","",A761&amp;"|"&amp;H761)</f>
        <v/>
      </c>
      <c r="M761" s="69">
        <f>IF(A761="","",IFERROR(INDEX(Bestand!$AC$14:$AC$213,MATCH(A761,Bestand!$A$14:$A$213,0)),0))</f>
        <v/>
      </c>
      <c r="N761" s="69">
        <f>IF(OR(H761="",M761&lt;&gt;1),"",C761+ROW()/100000)</f>
        <v/>
      </c>
    </row>
    <row r="762" ht="20" customHeight="1">
      <c r="A762" s="60" t="n"/>
      <c r="B762" s="65">
        <f>IF(A762="","",IFERROR(INDEX(Bestand!$B$14:$B$213,MATCH(A762,Bestand!$A$14:$A$213,0)),"ID unbekannt"))</f>
        <v/>
      </c>
      <c r="C762" s="63" t="n"/>
      <c r="D762" s="62" t="n"/>
      <c r="E762" s="60" t="n"/>
      <c r="F762" s="60" t="n"/>
      <c r="G762" s="61" t="n"/>
      <c r="H762" s="69">
        <f>IF(OR(A762="",C762=""),"",COUNTIFS($A$7:$A$1006,A762,$C$7:$C$1006,"&lt;"&amp;C762)+1)</f>
        <v/>
      </c>
      <c r="I762" s="67">
        <f>IF(H762="","",IF(H762=1,"",C762-_xlfn.MAXIFS($C$7:$C$1006,$A$7:$A$1006,A762,$C$7:$C$1006,"&lt;"&amp;C762)))</f>
        <v/>
      </c>
      <c r="J762" s="68">
        <f>IF(I762="","",I762/TpM)</f>
        <v/>
      </c>
      <c r="K762" s="69">
        <f>IF(H762="","",COUNTIFS($A$7:$A$1006,A762,$C$7:$C$1006,"&gt;0")-H762)</f>
        <v/>
      </c>
      <c r="L762" s="69">
        <f>IF(H762="","",A762&amp;"|"&amp;H762)</f>
        <v/>
      </c>
      <c r="M762" s="69">
        <f>IF(A762="","",IFERROR(INDEX(Bestand!$AC$14:$AC$213,MATCH(A762,Bestand!$A$14:$A$213,0)),0))</f>
        <v/>
      </c>
      <c r="N762" s="69">
        <f>IF(OR(H762="",M762&lt;&gt;1),"",C762+ROW()/100000)</f>
        <v/>
      </c>
    </row>
    <row r="763" ht="20" customHeight="1">
      <c r="A763" s="60" t="n"/>
      <c r="B763" s="65">
        <f>IF(A763="","",IFERROR(INDEX(Bestand!$B$14:$B$213,MATCH(A763,Bestand!$A$14:$A$213,0)),"ID unbekannt"))</f>
        <v/>
      </c>
      <c r="C763" s="63" t="n"/>
      <c r="D763" s="62" t="n"/>
      <c r="E763" s="60" t="n"/>
      <c r="F763" s="60" t="n"/>
      <c r="G763" s="61" t="n"/>
      <c r="H763" s="69">
        <f>IF(OR(A763="",C763=""),"",COUNTIFS($A$7:$A$1006,A763,$C$7:$C$1006,"&lt;"&amp;C763)+1)</f>
        <v/>
      </c>
      <c r="I763" s="67">
        <f>IF(H763="","",IF(H763=1,"",C763-_xlfn.MAXIFS($C$7:$C$1006,$A$7:$A$1006,A763,$C$7:$C$1006,"&lt;"&amp;C763)))</f>
        <v/>
      </c>
      <c r="J763" s="68">
        <f>IF(I763="","",I763/TpM)</f>
        <v/>
      </c>
      <c r="K763" s="69">
        <f>IF(H763="","",COUNTIFS($A$7:$A$1006,A763,$C$7:$C$1006,"&gt;0")-H763)</f>
        <v/>
      </c>
      <c r="L763" s="69">
        <f>IF(H763="","",A763&amp;"|"&amp;H763)</f>
        <v/>
      </c>
      <c r="M763" s="69">
        <f>IF(A763="","",IFERROR(INDEX(Bestand!$AC$14:$AC$213,MATCH(A763,Bestand!$A$14:$A$213,0)),0))</f>
        <v/>
      </c>
      <c r="N763" s="69">
        <f>IF(OR(H763="",M763&lt;&gt;1),"",C763+ROW()/100000)</f>
        <v/>
      </c>
    </row>
    <row r="764" ht="20" customHeight="1">
      <c r="A764" s="60" t="n"/>
      <c r="B764" s="65">
        <f>IF(A764="","",IFERROR(INDEX(Bestand!$B$14:$B$213,MATCH(A764,Bestand!$A$14:$A$213,0)),"ID unbekannt"))</f>
        <v/>
      </c>
      <c r="C764" s="63" t="n"/>
      <c r="D764" s="62" t="n"/>
      <c r="E764" s="60" t="n"/>
      <c r="F764" s="60" t="n"/>
      <c r="G764" s="61" t="n"/>
      <c r="H764" s="69">
        <f>IF(OR(A764="",C764=""),"",COUNTIFS($A$7:$A$1006,A764,$C$7:$C$1006,"&lt;"&amp;C764)+1)</f>
        <v/>
      </c>
      <c r="I764" s="67">
        <f>IF(H764="","",IF(H764=1,"",C764-_xlfn.MAXIFS($C$7:$C$1006,$A$7:$A$1006,A764,$C$7:$C$1006,"&lt;"&amp;C764)))</f>
        <v/>
      </c>
      <c r="J764" s="68">
        <f>IF(I764="","",I764/TpM)</f>
        <v/>
      </c>
      <c r="K764" s="69">
        <f>IF(H764="","",COUNTIFS($A$7:$A$1006,A764,$C$7:$C$1006,"&gt;0")-H764)</f>
        <v/>
      </c>
      <c r="L764" s="69">
        <f>IF(H764="","",A764&amp;"|"&amp;H764)</f>
        <v/>
      </c>
      <c r="M764" s="69">
        <f>IF(A764="","",IFERROR(INDEX(Bestand!$AC$14:$AC$213,MATCH(A764,Bestand!$A$14:$A$213,0)),0))</f>
        <v/>
      </c>
      <c r="N764" s="69">
        <f>IF(OR(H764="",M764&lt;&gt;1),"",C764+ROW()/100000)</f>
        <v/>
      </c>
    </row>
    <row r="765" ht="20" customHeight="1">
      <c r="A765" s="60" t="n"/>
      <c r="B765" s="65">
        <f>IF(A765="","",IFERROR(INDEX(Bestand!$B$14:$B$213,MATCH(A765,Bestand!$A$14:$A$213,0)),"ID unbekannt"))</f>
        <v/>
      </c>
      <c r="C765" s="63" t="n"/>
      <c r="D765" s="62" t="n"/>
      <c r="E765" s="60" t="n"/>
      <c r="F765" s="60" t="n"/>
      <c r="G765" s="61" t="n"/>
      <c r="H765" s="69">
        <f>IF(OR(A765="",C765=""),"",COUNTIFS($A$7:$A$1006,A765,$C$7:$C$1006,"&lt;"&amp;C765)+1)</f>
        <v/>
      </c>
      <c r="I765" s="67">
        <f>IF(H765="","",IF(H765=1,"",C765-_xlfn.MAXIFS($C$7:$C$1006,$A$7:$A$1006,A765,$C$7:$C$1006,"&lt;"&amp;C765)))</f>
        <v/>
      </c>
      <c r="J765" s="68">
        <f>IF(I765="","",I765/TpM)</f>
        <v/>
      </c>
      <c r="K765" s="69">
        <f>IF(H765="","",COUNTIFS($A$7:$A$1006,A765,$C$7:$C$1006,"&gt;0")-H765)</f>
        <v/>
      </c>
      <c r="L765" s="69">
        <f>IF(H765="","",A765&amp;"|"&amp;H765)</f>
        <v/>
      </c>
      <c r="M765" s="69">
        <f>IF(A765="","",IFERROR(INDEX(Bestand!$AC$14:$AC$213,MATCH(A765,Bestand!$A$14:$A$213,0)),0))</f>
        <v/>
      </c>
      <c r="N765" s="69">
        <f>IF(OR(H765="",M765&lt;&gt;1),"",C765+ROW()/100000)</f>
        <v/>
      </c>
    </row>
    <row r="766" ht="20" customHeight="1">
      <c r="A766" s="60" t="n"/>
      <c r="B766" s="65">
        <f>IF(A766="","",IFERROR(INDEX(Bestand!$B$14:$B$213,MATCH(A766,Bestand!$A$14:$A$213,0)),"ID unbekannt"))</f>
        <v/>
      </c>
      <c r="C766" s="63" t="n"/>
      <c r="D766" s="62" t="n"/>
      <c r="E766" s="60" t="n"/>
      <c r="F766" s="60" t="n"/>
      <c r="G766" s="61" t="n"/>
      <c r="H766" s="69">
        <f>IF(OR(A766="",C766=""),"",COUNTIFS($A$7:$A$1006,A766,$C$7:$C$1006,"&lt;"&amp;C766)+1)</f>
        <v/>
      </c>
      <c r="I766" s="67">
        <f>IF(H766="","",IF(H766=1,"",C766-_xlfn.MAXIFS($C$7:$C$1006,$A$7:$A$1006,A766,$C$7:$C$1006,"&lt;"&amp;C766)))</f>
        <v/>
      </c>
      <c r="J766" s="68">
        <f>IF(I766="","",I766/TpM)</f>
        <v/>
      </c>
      <c r="K766" s="69">
        <f>IF(H766="","",COUNTIFS($A$7:$A$1006,A766,$C$7:$C$1006,"&gt;0")-H766)</f>
        <v/>
      </c>
      <c r="L766" s="69">
        <f>IF(H766="","",A766&amp;"|"&amp;H766)</f>
        <v/>
      </c>
      <c r="M766" s="69">
        <f>IF(A766="","",IFERROR(INDEX(Bestand!$AC$14:$AC$213,MATCH(A766,Bestand!$A$14:$A$213,0)),0))</f>
        <v/>
      </c>
      <c r="N766" s="69">
        <f>IF(OR(H766="",M766&lt;&gt;1),"",C766+ROW()/100000)</f>
        <v/>
      </c>
    </row>
    <row r="767" ht="20" customHeight="1">
      <c r="A767" s="60" t="n"/>
      <c r="B767" s="65">
        <f>IF(A767="","",IFERROR(INDEX(Bestand!$B$14:$B$213,MATCH(A767,Bestand!$A$14:$A$213,0)),"ID unbekannt"))</f>
        <v/>
      </c>
      <c r="C767" s="63" t="n"/>
      <c r="D767" s="62" t="n"/>
      <c r="E767" s="60" t="n"/>
      <c r="F767" s="60" t="n"/>
      <c r="G767" s="61" t="n"/>
      <c r="H767" s="69">
        <f>IF(OR(A767="",C767=""),"",COUNTIFS($A$7:$A$1006,A767,$C$7:$C$1006,"&lt;"&amp;C767)+1)</f>
        <v/>
      </c>
      <c r="I767" s="67">
        <f>IF(H767="","",IF(H767=1,"",C767-_xlfn.MAXIFS($C$7:$C$1006,$A$7:$A$1006,A767,$C$7:$C$1006,"&lt;"&amp;C767)))</f>
        <v/>
      </c>
      <c r="J767" s="68">
        <f>IF(I767="","",I767/TpM)</f>
        <v/>
      </c>
      <c r="K767" s="69">
        <f>IF(H767="","",COUNTIFS($A$7:$A$1006,A767,$C$7:$C$1006,"&gt;0")-H767)</f>
        <v/>
      </c>
      <c r="L767" s="69">
        <f>IF(H767="","",A767&amp;"|"&amp;H767)</f>
        <v/>
      </c>
      <c r="M767" s="69">
        <f>IF(A767="","",IFERROR(INDEX(Bestand!$AC$14:$AC$213,MATCH(A767,Bestand!$A$14:$A$213,0)),0))</f>
        <v/>
      </c>
      <c r="N767" s="69">
        <f>IF(OR(H767="",M767&lt;&gt;1),"",C767+ROW()/100000)</f>
        <v/>
      </c>
    </row>
    <row r="768" ht="20" customHeight="1">
      <c r="A768" s="60" t="n"/>
      <c r="B768" s="65">
        <f>IF(A768="","",IFERROR(INDEX(Bestand!$B$14:$B$213,MATCH(A768,Bestand!$A$14:$A$213,0)),"ID unbekannt"))</f>
        <v/>
      </c>
      <c r="C768" s="63" t="n"/>
      <c r="D768" s="62" t="n"/>
      <c r="E768" s="60" t="n"/>
      <c r="F768" s="60" t="n"/>
      <c r="G768" s="61" t="n"/>
      <c r="H768" s="69">
        <f>IF(OR(A768="",C768=""),"",COUNTIFS($A$7:$A$1006,A768,$C$7:$C$1006,"&lt;"&amp;C768)+1)</f>
        <v/>
      </c>
      <c r="I768" s="67">
        <f>IF(H768="","",IF(H768=1,"",C768-_xlfn.MAXIFS($C$7:$C$1006,$A$7:$A$1006,A768,$C$7:$C$1006,"&lt;"&amp;C768)))</f>
        <v/>
      </c>
      <c r="J768" s="68">
        <f>IF(I768="","",I768/TpM)</f>
        <v/>
      </c>
      <c r="K768" s="69">
        <f>IF(H768="","",COUNTIFS($A$7:$A$1006,A768,$C$7:$C$1006,"&gt;0")-H768)</f>
        <v/>
      </c>
      <c r="L768" s="69">
        <f>IF(H768="","",A768&amp;"|"&amp;H768)</f>
        <v/>
      </c>
      <c r="M768" s="69">
        <f>IF(A768="","",IFERROR(INDEX(Bestand!$AC$14:$AC$213,MATCH(A768,Bestand!$A$14:$A$213,0)),0))</f>
        <v/>
      </c>
      <c r="N768" s="69">
        <f>IF(OR(H768="",M768&lt;&gt;1),"",C768+ROW()/100000)</f>
        <v/>
      </c>
    </row>
    <row r="769" ht="20" customHeight="1">
      <c r="A769" s="60" t="n"/>
      <c r="B769" s="65">
        <f>IF(A769="","",IFERROR(INDEX(Bestand!$B$14:$B$213,MATCH(A769,Bestand!$A$14:$A$213,0)),"ID unbekannt"))</f>
        <v/>
      </c>
      <c r="C769" s="63" t="n"/>
      <c r="D769" s="62" t="n"/>
      <c r="E769" s="60" t="n"/>
      <c r="F769" s="60" t="n"/>
      <c r="G769" s="61" t="n"/>
      <c r="H769" s="69">
        <f>IF(OR(A769="",C769=""),"",COUNTIFS($A$7:$A$1006,A769,$C$7:$C$1006,"&lt;"&amp;C769)+1)</f>
        <v/>
      </c>
      <c r="I769" s="67">
        <f>IF(H769="","",IF(H769=1,"",C769-_xlfn.MAXIFS($C$7:$C$1006,$A$7:$A$1006,A769,$C$7:$C$1006,"&lt;"&amp;C769)))</f>
        <v/>
      </c>
      <c r="J769" s="68">
        <f>IF(I769="","",I769/TpM)</f>
        <v/>
      </c>
      <c r="K769" s="69">
        <f>IF(H769="","",COUNTIFS($A$7:$A$1006,A769,$C$7:$C$1006,"&gt;0")-H769)</f>
        <v/>
      </c>
      <c r="L769" s="69">
        <f>IF(H769="","",A769&amp;"|"&amp;H769)</f>
        <v/>
      </c>
      <c r="M769" s="69">
        <f>IF(A769="","",IFERROR(INDEX(Bestand!$AC$14:$AC$213,MATCH(A769,Bestand!$A$14:$A$213,0)),0))</f>
        <v/>
      </c>
      <c r="N769" s="69">
        <f>IF(OR(H769="",M769&lt;&gt;1),"",C769+ROW()/100000)</f>
        <v/>
      </c>
    </row>
    <row r="770" ht="20" customHeight="1">
      <c r="A770" s="60" t="n"/>
      <c r="B770" s="65">
        <f>IF(A770="","",IFERROR(INDEX(Bestand!$B$14:$B$213,MATCH(A770,Bestand!$A$14:$A$213,0)),"ID unbekannt"))</f>
        <v/>
      </c>
      <c r="C770" s="63" t="n"/>
      <c r="D770" s="62" t="n"/>
      <c r="E770" s="60" t="n"/>
      <c r="F770" s="60" t="n"/>
      <c r="G770" s="61" t="n"/>
      <c r="H770" s="69">
        <f>IF(OR(A770="",C770=""),"",COUNTIFS($A$7:$A$1006,A770,$C$7:$C$1006,"&lt;"&amp;C770)+1)</f>
        <v/>
      </c>
      <c r="I770" s="67">
        <f>IF(H770="","",IF(H770=1,"",C770-_xlfn.MAXIFS($C$7:$C$1006,$A$7:$A$1006,A770,$C$7:$C$1006,"&lt;"&amp;C770)))</f>
        <v/>
      </c>
      <c r="J770" s="68">
        <f>IF(I770="","",I770/TpM)</f>
        <v/>
      </c>
      <c r="K770" s="69">
        <f>IF(H770="","",COUNTIFS($A$7:$A$1006,A770,$C$7:$C$1006,"&gt;0")-H770)</f>
        <v/>
      </c>
      <c r="L770" s="69">
        <f>IF(H770="","",A770&amp;"|"&amp;H770)</f>
        <v/>
      </c>
      <c r="M770" s="69">
        <f>IF(A770="","",IFERROR(INDEX(Bestand!$AC$14:$AC$213,MATCH(A770,Bestand!$A$14:$A$213,0)),0))</f>
        <v/>
      </c>
      <c r="N770" s="69">
        <f>IF(OR(H770="",M770&lt;&gt;1),"",C770+ROW()/100000)</f>
        <v/>
      </c>
    </row>
    <row r="771" ht="20" customHeight="1">
      <c r="A771" s="60" t="n"/>
      <c r="B771" s="65">
        <f>IF(A771="","",IFERROR(INDEX(Bestand!$B$14:$B$213,MATCH(A771,Bestand!$A$14:$A$213,0)),"ID unbekannt"))</f>
        <v/>
      </c>
      <c r="C771" s="63" t="n"/>
      <c r="D771" s="62" t="n"/>
      <c r="E771" s="60" t="n"/>
      <c r="F771" s="60" t="n"/>
      <c r="G771" s="61" t="n"/>
      <c r="H771" s="69">
        <f>IF(OR(A771="",C771=""),"",COUNTIFS($A$7:$A$1006,A771,$C$7:$C$1006,"&lt;"&amp;C771)+1)</f>
        <v/>
      </c>
      <c r="I771" s="67">
        <f>IF(H771="","",IF(H771=1,"",C771-_xlfn.MAXIFS($C$7:$C$1006,$A$7:$A$1006,A771,$C$7:$C$1006,"&lt;"&amp;C771)))</f>
        <v/>
      </c>
      <c r="J771" s="68">
        <f>IF(I771="","",I771/TpM)</f>
        <v/>
      </c>
      <c r="K771" s="69">
        <f>IF(H771="","",COUNTIFS($A$7:$A$1006,A771,$C$7:$C$1006,"&gt;0")-H771)</f>
        <v/>
      </c>
      <c r="L771" s="69">
        <f>IF(H771="","",A771&amp;"|"&amp;H771)</f>
        <v/>
      </c>
      <c r="M771" s="69">
        <f>IF(A771="","",IFERROR(INDEX(Bestand!$AC$14:$AC$213,MATCH(A771,Bestand!$A$14:$A$213,0)),0))</f>
        <v/>
      </c>
      <c r="N771" s="69">
        <f>IF(OR(H771="",M771&lt;&gt;1),"",C771+ROW()/100000)</f>
        <v/>
      </c>
    </row>
    <row r="772" ht="20" customHeight="1">
      <c r="A772" s="60" t="n"/>
      <c r="B772" s="65">
        <f>IF(A772="","",IFERROR(INDEX(Bestand!$B$14:$B$213,MATCH(A772,Bestand!$A$14:$A$213,0)),"ID unbekannt"))</f>
        <v/>
      </c>
      <c r="C772" s="63" t="n"/>
      <c r="D772" s="62" t="n"/>
      <c r="E772" s="60" t="n"/>
      <c r="F772" s="60" t="n"/>
      <c r="G772" s="61" t="n"/>
      <c r="H772" s="69">
        <f>IF(OR(A772="",C772=""),"",COUNTIFS($A$7:$A$1006,A772,$C$7:$C$1006,"&lt;"&amp;C772)+1)</f>
        <v/>
      </c>
      <c r="I772" s="67">
        <f>IF(H772="","",IF(H772=1,"",C772-_xlfn.MAXIFS($C$7:$C$1006,$A$7:$A$1006,A772,$C$7:$C$1006,"&lt;"&amp;C772)))</f>
        <v/>
      </c>
      <c r="J772" s="68">
        <f>IF(I772="","",I772/TpM)</f>
        <v/>
      </c>
      <c r="K772" s="69">
        <f>IF(H772="","",COUNTIFS($A$7:$A$1006,A772,$C$7:$C$1006,"&gt;0")-H772)</f>
        <v/>
      </c>
      <c r="L772" s="69">
        <f>IF(H772="","",A772&amp;"|"&amp;H772)</f>
        <v/>
      </c>
      <c r="M772" s="69">
        <f>IF(A772="","",IFERROR(INDEX(Bestand!$AC$14:$AC$213,MATCH(A772,Bestand!$A$14:$A$213,0)),0))</f>
        <v/>
      </c>
      <c r="N772" s="69">
        <f>IF(OR(H772="",M772&lt;&gt;1),"",C772+ROW()/100000)</f>
        <v/>
      </c>
    </row>
    <row r="773" ht="20" customHeight="1">
      <c r="A773" s="60" t="n"/>
      <c r="B773" s="65">
        <f>IF(A773="","",IFERROR(INDEX(Bestand!$B$14:$B$213,MATCH(A773,Bestand!$A$14:$A$213,0)),"ID unbekannt"))</f>
        <v/>
      </c>
      <c r="C773" s="63" t="n"/>
      <c r="D773" s="62" t="n"/>
      <c r="E773" s="60" t="n"/>
      <c r="F773" s="60" t="n"/>
      <c r="G773" s="61" t="n"/>
      <c r="H773" s="69">
        <f>IF(OR(A773="",C773=""),"",COUNTIFS($A$7:$A$1006,A773,$C$7:$C$1006,"&lt;"&amp;C773)+1)</f>
        <v/>
      </c>
      <c r="I773" s="67">
        <f>IF(H773="","",IF(H773=1,"",C773-_xlfn.MAXIFS($C$7:$C$1006,$A$7:$A$1006,A773,$C$7:$C$1006,"&lt;"&amp;C773)))</f>
        <v/>
      </c>
      <c r="J773" s="68">
        <f>IF(I773="","",I773/TpM)</f>
        <v/>
      </c>
      <c r="K773" s="69">
        <f>IF(H773="","",COUNTIFS($A$7:$A$1006,A773,$C$7:$C$1006,"&gt;0")-H773)</f>
        <v/>
      </c>
      <c r="L773" s="69">
        <f>IF(H773="","",A773&amp;"|"&amp;H773)</f>
        <v/>
      </c>
      <c r="M773" s="69">
        <f>IF(A773="","",IFERROR(INDEX(Bestand!$AC$14:$AC$213,MATCH(A773,Bestand!$A$14:$A$213,0)),0))</f>
        <v/>
      </c>
      <c r="N773" s="69">
        <f>IF(OR(H773="",M773&lt;&gt;1),"",C773+ROW()/100000)</f>
        <v/>
      </c>
    </row>
    <row r="774" ht="20" customHeight="1">
      <c r="A774" s="60" t="n"/>
      <c r="B774" s="65">
        <f>IF(A774="","",IFERROR(INDEX(Bestand!$B$14:$B$213,MATCH(A774,Bestand!$A$14:$A$213,0)),"ID unbekannt"))</f>
        <v/>
      </c>
      <c r="C774" s="63" t="n"/>
      <c r="D774" s="62" t="n"/>
      <c r="E774" s="60" t="n"/>
      <c r="F774" s="60" t="n"/>
      <c r="G774" s="61" t="n"/>
      <c r="H774" s="69">
        <f>IF(OR(A774="",C774=""),"",COUNTIFS($A$7:$A$1006,A774,$C$7:$C$1006,"&lt;"&amp;C774)+1)</f>
        <v/>
      </c>
      <c r="I774" s="67">
        <f>IF(H774="","",IF(H774=1,"",C774-_xlfn.MAXIFS($C$7:$C$1006,$A$7:$A$1006,A774,$C$7:$C$1006,"&lt;"&amp;C774)))</f>
        <v/>
      </c>
      <c r="J774" s="68">
        <f>IF(I774="","",I774/TpM)</f>
        <v/>
      </c>
      <c r="K774" s="69">
        <f>IF(H774="","",COUNTIFS($A$7:$A$1006,A774,$C$7:$C$1006,"&gt;0")-H774)</f>
        <v/>
      </c>
      <c r="L774" s="69">
        <f>IF(H774="","",A774&amp;"|"&amp;H774)</f>
        <v/>
      </c>
      <c r="M774" s="69">
        <f>IF(A774="","",IFERROR(INDEX(Bestand!$AC$14:$AC$213,MATCH(A774,Bestand!$A$14:$A$213,0)),0))</f>
        <v/>
      </c>
      <c r="N774" s="69">
        <f>IF(OR(H774="",M774&lt;&gt;1),"",C774+ROW()/100000)</f>
        <v/>
      </c>
    </row>
    <row r="775" ht="20" customHeight="1">
      <c r="A775" s="60" t="n"/>
      <c r="B775" s="65">
        <f>IF(A775="","",IFERROR(INDEX(Bestand!$B$14:$B$213,MATCH(A775,Bestand!$A$14:$A$213,0)),"ID unbekannt"))</f>
        <v/>
      </c>
      <c r="C775" s="63" t="n"/>
      <c r="D775" s="62" t="n"/>
      <c r="E775" s="60" t="n"/>
      <c r="F775" s="60" t="n"/>
      <c r="G775" s="61" t="n"/>
      <c r="H775" s="69">
        <f>IF(OR(A775="",C775=""),"",COUNTIFS($A$7:$A$1006,A775,$C$7:$C$1006,"&lt;"&amp;C775)+1)</f>
        <v/>
      </c>
      <c r="I775" s="67">
        <f>IF(H775="","",IF(H775=1,"",C775-_xlfn.MAXIFS($C$7:$C$1006,$A$7:$A$1006,A775,$C$7:$C$1006,"&lt;"&amp;C775)))</f>
        <v/>
      </c>
      <c r="J775" s="68">
        <f>IF(I775="","",I775/TpM)</f>
        <v/>
      </c>
      <c r="K775" s="69">
        <f>IF(H775="","",COUNTIFS($A$7:$A$1006,A775,$C$7:$C$1006,"&gt;0")-H775)</f>
        <v/>
      </c>
      <c r="L775" s="69">
        <f>IF(H775="","",A775&amp;"|"&amp;H775)</f>
        <v/>
      </c>
      <c r="M775" s="69">
        <f>IF(A775="","",IFERROR(INDEX(Bestand!$AC$14:$AC$213,MATCH(A775,Bestand!$A$14:$A$213,0)),0))</f>
        <v/>
      </c>
      <c r="N775" s="69">
        <f>IF(OR(H775="",M775&lt;&gt;1),"",C775+ROW()/100000)</f>
        <v/>
      </c>
    </row>
    <row r="776" ht="20" customHeight="1">
      <c r="A776" s="60" t="n"/>
      <c r="B776" s="65">
        <f>IF(A776="","",IFERROR(INDEX(Bestand!$B$14:$B$213,MATCH(A776,Bestand!$A$14:$A$213,0)),"ID unbekannt"))</f>
        <v/>
      </c>
      <c r="C776" s="63" t="n"/>
      <c r="D776" s="62" t="n"/>
      <c r="E776" s="60" t="n"/>
      <c r="F776" s="60" t="n"/>
      <c r="G776" s="61" t="n"/>
      <c r="H776" s="69">
        <f>IF(OR(A776="",C776=""),"",COUNTIFS($A$7:$A$1006,A776,$C$7:$C$1006,"&lt;"&amp;C776)+1)</f>
        <v/>
      </c>
      <c r="I776" s="67">
        <f>IF(H776="","",IF(H776=1,"",C776-_xlfn.MAXIFS($C$7:$C$1006,$A$7:$A$1006,A776,$C$7:$C$1006,"&lt;"&amp;C776)))</f>
        <v/>
      </c>
      <c r="J776" s="68">
        <f>IF(I776="","",I776/TpM)</f>
        <v/>
      </c>
      <c r="K776" s="69">
        <f>IF(H776="","",COUNTIFS($A$7:$A$1006,A776,$C$7:$C$1006,"&gt;0")-H776)</f>
        <v/>
      </c>
      <c r="L776" s="69">
        <f>IF(H776="","",A776&amp;"|"&amp;H776)</f>
        <v/>
      </c>
      <c r="M776" s="69">
        <f>IF(A776="","",IFERROR(INDEX(Bestand!$AC$14:$AC$213,MATCH(A776,Bestand!$A$14:$A$213,0)),0))</f>
        <v/>
      </c>
      <c r="N776" s="69">
        <f>IF(OR(H776="",M776&lt;&gt;1),"",C776+ROW()/100000)</f>
        <v/>
      </c>
    </row>
    <row r="777" ht="20" customHeight="1">
      <c r="A777" s="60" t="n"/>
      <c r="B777" s="65">
        <f>IF(A777="","",IFERROR(INDEX(Bestand!$B$14:$B$213,MATCH(A777,Bestand!$A$14:$A$213,0)),"ID unbekannt"))</f>
        <v/>
      </c>
      <c r="C777" s="63" t="n"/>
      <c r="D777" s="62" t="n"/>
      <c r="E777" s="60" t="n"/>
      <c r="F777" s="60" t="n"/>
      <c r="G777" s="61" t="n"/>
      <c r="H777" s="69">
        <f>IF(OR(A777="",C777=""),"",COUNTIFS($A$7:$A$1006,A777,$C$7:$C$1006,"&lt;"&amp;C777)+1)</f>
        <v/>
      </c>
      <c r="I777" s="67">
        <f>IF(H777="","",IF(H777=1,"",C777-_xlfn.MAXIFS($C$7:$C$1006,$A$7:$A$1006,A777,$C$7:$C$1006,"&lt;"&amp;C777)))</f>
        <v/>
      </c>
      <c r="J777" s="68">
        <f>IF(I777="","",I777/TpM)</f>
        <v/>
      </c>
      <c r="K777" s="69">
        <f>IF(H777="","",COUNTIFS($A$7:$A$1006,A777,$C$7:$C$1006,"&gt;0")-H777)</f>
        <v/>
      </c>
      <c r="L777" s="69">
        <f>IF(H777="","",A777&amp;"|"&amp;H777)</f>
        <v/>
      </c>
      <c r="M777" s="69">
        <f>IF(A777="","",IFERROR(INDEX(Bestand!$AC$14:$AC$213,MATCH(A777,Bestand!$A$14:$A$213,0)),0))</f>
        <v/>
      </c>
      <c r="N777" s="69">
        <f>IF(OR(H777="",M777&lt;&gt;1),"",C777+ROW()/100000)</f>
        <v/>
      </c>
    </row>
    <row r="778" ht="20" customHeight="1">
      <c r="A778" s="60" t="n"/>
      <c r="B778" s="65">
        <f>IF(A778="","",IFERROR(INDEX(Bestand!$B$14:$B$213,MATCH(A778,Bestand!$A$14:$A$213,0)),"ID unbekannt"))</f>
        <v/>
      </c>
      <c r="C778" s="63" t="n"/>
      <c r="D778" s="62" t="n"/>
      <c r="E778" s="60" t="n"/>
      <c r="F778" s="60" t="n"/>
      <c r="G778" s="61" t="n"/>
      <c r="H778" s="69">
        <f>IF(OR(A778="",C778=""),"",COUNTIFS($A$7:$A$1006,A778,$C$7:$C$1006,"&lt;"&amp;C778)+1)</f>
        <v/>
      </c>
      <c r="I778" s="67">
        <f>IF(H778="","",IF(H778=1,"",C778-_xlfn.MAXIFS($C$7:$C$1006,$A$7:$A$1006,A778,$C$7:$C$1006,"&lt;"&amp;C778)))</f>
        <v/>
      </c>
      <c r="J778" s="68">
        <f>IF(I778="","",I778/TpM)</f>
        <v/>
      </c>
      <c r="K778" s="69">
        <f>IF(H778="","",COUNTIFS($A$7:$A$1006,A778,$C$7:$C$1006,"&gt;0")-H778)</f>
        <v/>
      </c>
      <c r="L778" s="69">
        <f>IF(H778="","",A778&amp;"|"&amp;H778)</f>
        <v/>
      </c>
      <c r="M778" s="69">
        <f>IF(A778="","",IFERROR(INDEX(Bestand!$AC$14:$AC$213,MATCH(A778,Bestand!$A$14:$A$213,0)),0))</f>
        <v/>
      </c>
      <c r="N778" s="69">
        <f>IF(OR(H778="",M778&lt;&gt;1),"",C778+ROW()/100000)</f>
        <v/>
      </c>
    </row>
    <row r="779" ht="20" customHeight="1">
      <c r="A779" s="60" t="n"/>
      <c r="B779" s="65">
        <f>IF(A779="","",IFERROR(INDEX(Bestand!$B$14:$B$213,MATCH(A779,Bestand!$A$14:$A$213,0)),"ID unbekannt"))</f>
        <v/>
      </c>
      <c r="C779" s="63" t="n"/>
      <c r="D779" s="62" t="n"/>
      <c r="E779" s="60" t="n"/>
      <c r="F779" s="60" t="n"/>
      <c r="G779" s="61" t="n"/>
      <c r="H779" s="69">
        <f>IF(OR(A779="",C779=""),"",COUNTIFS($A$7:$A$1006,A779,$C$7:$C$1006,"&lt;"&amp;C779)+1)</f>
        <v/>
      </c>
      <c r="I779" s="67">
        <f>IF(H779="","",IF(H779=1,"",C779-_xlfn.MAXIFS($C$7:$C$1006,$A$7:$A$1006,A779,$C$7:$C$1006,"&lt;"&amp;C779)))</f>
        <v/>
      </c>
      <c r="J779" s="68">
        <f>IF(I779="","",I779/TpM)</f>
        <v/>
      </c>
      <c r="K779" s="69">
        <f>IF(H779="","",COUNTIFS($A$7:$A$1006,A779,$C$7:$C$1006,"&gt;0")-H779)</f>
        <v/>
      </c>
      <c r="L779" s="69">
        <f>IF(H779="","",A779&amp;"|"&amp;H779)</f>
        <v/>
      </c>
      <c r="M779" s="69">
        <f>IF(A779="","",IFERROR(INDEX(Bestand!$AC$14:$AC$213,MATCH(A779,Bestand!$A$14:$A$213,0)),0))</f>
        <v/>
      </c>
      <c r="N779" s="69">
        <f>IF(OR(H779="",M779&lt;&gt;1),"",C779+ROW()/100000)</f>
        <v/>
      </c>
    </row>
    <row r="780" ht="20" customHeight="1">
      <c r="A780" s="60" t="n"/>
      <c r="B780" s="65">
        <f>IF(A780="","",IFERROR(INDEX(Bestand!$B$14:$B$213,MATCH(A780,Bestand!$A$14:$A$213,0)),"ID unbekannt"))</f>
        <v/>
      </c>
      <c r="C780" s="63" t="n"/>
      <c r="D780" s="62" t="n"/>
      <c r="E780" s="60" t="n"/>
      <c r="F780" s="60" t="n"/>
      <c r="G780" s="61" t="n"/>
      <c r="H780" s="69">
        <f>IF(OR(A780="",C780=""),"",COUNTIFS($A$7:$A$1006,A780,$C$7:$C$1006,"&lt;"&amp;C780)+1)</f>
        <v/>
      </c>
      <c r="I780" s="67">
        <f>IF(H780="","",IF(H780=1,"",C780-_xlfn.MAXIFS($C$7:$C$1006,$A$7:$A$1006,A780,$C$7:$C$1006,"&lt;"&amp;C780)))</f>
        <v/>
      </c>
      <c r="J780" s="68">
        <f>IF(I780="","",I780/TpM)</f>
        <v/>
      </c>
      <c r="K780" s="69">
        <f>IF(H780="","",COUNTIFS($A$7:$A$1006,A780,$C$7:$C$1006,"&gt;0")-H780)</f>
        <v/>
      </c>
      <c r="L780" s="69">
        <f>IF(H780="","",A780&amp;"|"&amp;H780)</f>
        <v/>
      </c>
      <c r="M780" s="69">
        <f>IF(A780="","",IFERROR(INDEX(Bestand!$AC$14:$AC$213,MATCH(A780,Bestand!$A$14:$A$213,0)),0))</f>
        <v/>
      </c>
      <c r="N780" s="69">
        <f>IF(OR(H780="",M780&lt;&gt;1),"",C780+ROW()/100000)</f>
        <v/>
      </c>
    </row>
    <row r="781" ht="20" customHeight="1">
      <c r="A781" s="60" t="n"/>
      <c r="B781" s="65">
        <f>IF(A781="","",IFERROR(INDEX(Bestand!$B$14:$B$213,MATCH(A781,Bestand!$A$14:$A$213,0)),"ID unbekannt"))</f>
        <v/>
      </c>
      <c r="C781" s="63" t="n"/>
      <c r="D781" s="62" t="n"/>
      <c r="E781" s="60" t="n"/>
      <c r="F781" s="60" t="n"/>
      <c r="G781" s="61" t="n"/>
      <c r="H781" s="69">
        <f>IF(OR(A781="",C781=""),"",COUNTIFS($A$7:$A$1006,A781,$C$7:$C$1006,"&lt;"&amp;C781)+1)</f>
        <v/>
      </c>
      <c r="I781" s="67">
        <f>IF(H781="","",IF(H781=1,"",C781-_xlfn.MAXIFS($C$7:$C$1006,$A$7:$A$1006,A781,$C$7:$C$1006,"&lt;"&amp;C781)))</f>
        <v/>
      </c>
      <c r="J781" s="68">
        <f>IF(I781="","",I781/TpM)</f>
        <v/>
      </c>
      <c r="K781" s="69">
        <f>IF(H781="","",COUNTIFS($A$7:$A$1006,A781,$C$7:$C$1006,"&gt;0")-H781)</f>
        <v/>
      </c>
      <c r="L781" s="69">
        <f>IF(H781="","",A781&amp;"|"&amp;H781)</f>
        <v/>
      </c>
      <c r="M781" s="69">
        <f>IF(A781="","",IFERROR(INDEX(Bestand!$AC$14:$AC$213,MATCH(A781,Bestand!$A$14:$A$213,0)),0))</f>
        <v/>
      </c>
      <c r="N781" s="69">
        <f>IF(OR(H781="",M781&lt;&gt;1),"",C781+ROW()/100000)</f>
        <v/>
      </c>
    </row>
    <row r="782" ht="20" customHeight="1">
      <c r="A782" s="60" t="n"/>
      <c r="B782" s="65">
        <f>IF(A782="","",IFERROR(INDEX(Bestand!$B$14:$B$213,MATCH(A782,Bestand!$A$14:$A$213,0)),"ID unbekannt"))</f>
        <v/>
      </c>
      <c r="C782" s="63" t="n"/>
      <c r="D782" s="62" t="n"/>
      <c r="E782" s="60" t="n"/>
      <c r="F782" s="60" t="n"/>
      <c r="G782" s="61" t="n"/>
      <c r="H782" s="69">
        <f>IF(OR(A782="",C782=""),"",COUNTIFS($A$7:$A$1006,A782,$C$7:$C$1006,"&lt;"&amp;C782)+1)</f>
        <v/>
      </c>
      <c r="I782" s="67">
        <f>IF(H782="","",IF(H782=1,"",C782-_xlfn.MAXIFS($C$7:$C$1006,$A$7:$A$1006,A782,$C$7:$C$1006,"&lt;"&amp;C782)))</f>
        <v/>
      </c>
      <c r="J782" s="68">
        <f>IF(I782="","",I782/TpM)</f>
        <v/>
      </c>
      <c r="K782" s="69">
        <f>IF(H782="","",COUNTIFS($A$7:$A$1006,A782,$C$7:$C$1006,"&gt;0")-H782)</f>
        <v/>
      </c>
      <c r="L782" s="69">
        <f>IF(H782="","",A782&amp;"|"&amp;H782)</f>
        <v/>
      </c>
      <c r="M782" s="69">
        <f>IF(A782="","",IFERROR(INDEX(Bestand!$AC$14:$AC$213,MATCH(A782,Bestand!$A$14:$A$213,0)),0))</f>
        <v/>
      </c>
      <c r="N782" s="69">
        <f>IF(OR(H782="",M782&lt;&gt;1),"",C782+ROW()/100000)</f>
        <v/>
      </c>
    </row>
    <row r="783" ht="20" customHeight="1">
      <c r="A783" s="60" t="n"/>
      <c r="B783" s="65">
        <f>IF(A783="","",IFERROR(INDEX(Bestand!$B$14:$B$213,MATCH(A783,Bestand!$A$14:$A$213,0)),"ID unbekannt"))</f>
        <v/>
      </c>
      <c r="C783" s="63" t="n"/>
      <c r="D783" s="62" t="n"/>
      <c r="E783" s="60" t="n"/>
      <c r="F783" s="60" t="n"/>
      <c r="G783" s="61" t="n"/>
      <c r="H783" s="69">
        <f>IF(OR(A783="",C783=""),"",COUNTIFS($A$7:$A$1006,A783,$C$7:$C$1006,"&lt;"&amp;C783)+1)</f>
        <v/>
      </c>
      <c r="I783" s="67">
        <f>IF(H783="","",IF(H783=1,"",C783-_xlfn.MAXIFS($C$7:$C$1006,$A$7:$A$1006,A783,$C$7:$C$1006,"&lt;"&amp;C783)))</f>
        <v/>
      </c>
      <c r="J783" s="68">
        <f>IF(I783="","",I783/TpM)</f>
        <v/>
      </c>
      <c r="K783" s="69">
        <f>IF(H783="","",COUNTIFS($A$7:$A$1006,A783,$C$7:$C$1006,"&gt;0")-H783)</f>
        <v/>
      </c>
      <c r="L783" s="69">
        <f>IF(H783="","",A783&amp;"|"&amp;H783)</f>
        <v/>
      </c>
      <c r="M783" s="69">
        <f>IF(A783="","",IFERROR(INDEX(Bestand!$AC$14:$AC$213,MATCH(A783,Bestand!$A$14:$A$213,0)),0))</f>
        <v/>
      </c>
      <c r="N783" s="69">
        <f>IF(OR(H783="",M783&lt;&gt;1),"",C783+ROW()/100000)</f>
        <v/>
      </c>
    </row>
    <row r="784" ht="20" customHeight="1">
      <c r="A784" s="60" t="n"/>
      <c r="B784" s="65">
        <f>IF(A784="","",IFERROR(INDEX(Bestand!$B$14:$B$213,MATCH(A784,Bestand!$A$14:$A$213,0)),"ID unbekannt"))</f>
        <v/>
      </c>
      <c r="C784" s="63" t="n"/>
      <c r="D784" s="62" t="n"/>
      <c r="E784" s="60" t="n"/>
      <c r="F784" s="60" t="n"/>
      <c r="G784" s="61" t="n"/>
      <c r="H784" s="69">
        <f>IF(OR(A784="",C784=""),"",COUNTIFS($A$7:$A$1006,A784,$C$7:$C$1006,"&lt;"&amp;C784)+1)</f>
        <v/>
      </c>
      <c r="I784" s="67">
        <f>IF(H784="","",IF(H784=1,"",C784-_xlfn.MAXIFS($C$7:$C$1006,$A$7:$A$1006,A784,$C$7:$C$1006,"&lt;"&amp;C784)))</f>
        <v/>
      </c>
      <c r="J784" s="68">
        <f>IF(I784="","",I784/TpM)</f>
        <v/>
      </c>
      <c r="K784" s="69">
        <f>IF(H784="","",COUNTIFS($A$7:$A$1006,A784,$C$7:$C$1006,"&gt;0")-H784)</f>
        <v/>
      </c>
      <c r="L784" s="69">
        <f>IF(H784="","",A784&amp;"|"&amp;H784)</f>
        <v/>
      </c>
      <c r="M784" s="69">
        <f>IF(A784="","",IFERROR(INDEX(Bestand!$AC$14:$AC$213,MATCH(A784,Bestand!$A$14:$A$213,0)),0))</f>
        <v/>
      </c>
      <c r="N784" s="69">
        <f>IF(OR(H784="",M784&lt;&gt;1),"",C784+ROW()/100000)</f>
        <v/>
      </c>
    </row>
    <row r="785" ht="20" customHeight="1">
      <c r="A785" s="60" t="n"/>
      <c r="B785" s="65">
        <f>IF(A785="","",IFERROR(INDEX(Bestand!$B$14:$B$213,MATCH(A785,Bestand!$A$14:$A$213,0)),"ID unbekannt"))</f>
        <v/>
      </c>
      <c r="C785" s="63" t="n"/>
      <c r="D785" s="62" t="n"/>
      <c r="E785" s="60" t="n"/>
      <c r="F785" s="60" t="n"/>
      <c r="G785" s="61" t="n"/>
      <c r="H785" s="69">
        <f>IF(OR(A785="",C785=""),"",COUNTIFS($A$7:$A$1006,A785,$C$7:$C$1006,"&lt;"&amp;C785)+1)</f>
        <v/>
      </c>
      <c r="I785" s="67">
        <f>IF(H785="","",IF(H785=1,"",C785-_xlfn.MAXIFS($C$7:$C$1006,$A$7:$A$1006,A785,$C$7:$C$1006,"&lt;"&amp;C785)))</f>
        <v/>
      </c>
      <c r="J785" s="68">
        <f>IF(I785="","",I785/TpM)</f>
        <v/>
      </c>
      <c r="K785" s="69">
        <f>IF(H785="","",COUNTIFS($A$7:$A$1006,A785,$C$7:$C$1006,"&gt;0")-H785)</f>
        <v/>
      </c>
      <c r="L785" s="69">
        <f>IF(H785="","",A785&amp;"|"&amp;H785)</f>
        <v/>
      </c>
      <c r="M785" s="69">
        <f>IF(A785="","",IFERROR(INDEX(Bestand!$AC$14:$AC$213,MATCH(A785,Bestand!$A$14:$A$213,0)),0))</f>
        <v/>
      </c>
      <c r="N785" s="69">
        <f>IF(OR(H785="",M785&lt;&gt;1),"",C785+ROW()/100000)</f>
        <v/>
      </c>
    </row>
    <row r="786" ht="20" customHeight="1">
      <c r="A786" s="60" t="n"/>
      <c r="B786" s="65">
        <f>IF(A786="","",IFERROR(INDEX(Bestand!$B$14:$B$213,MATCH(A786,Bestand!$A$14:$A$213,0)),"ID unbekannt"))</f>
        <v/>
      </c>
      <c r="C786" s="63" t="n"/>
      <c r="D786" s="62" t="n"/>
      <c r="E786" s="60" t="n"/>
      <c r="F786" s="60" t="n"/>
      <c r="G786" s="61" t="n"/>
      <c r="H786" s="69">
        <f>IF(OR(A786="",C786=""),"",COUNTIFS($A$7:$A$1006,A786,$C$7:$C$1006,"&lt;"&amp;C786)+1)</f>
        <v/>
      </c>
      <c r="I786" s="67">
        <f>IF(H786="","",IF(H786=1,"",C786-_xlfn.MAXIFS($C$7:$C$1006,$A$7:$A$1006,A786,$C$7:$C$1006,"&lt;"&amp;C786)))</f>
        <v/>
      </c>
      <c r="J786" s="68">
        <f>IF(I786="","",I786/TpM)</f>
        <v/>
      </c>
      <c r="K786" s="69">
        <f>IF(H786="","",COUNTIFS($A$7:$A$1006,A786,$C$7:$C$1006,"&gt;0")-H786)</f>
        <v/>
      </c>
      <c r="L786" s="69">
        <f>IF(H786="","",A786&amp;"|"&amp;H786)</f>
        <v/>
      </c>
      <c r="M786" s="69">
        <f>IF(A786="","",IFERROR(INDEX(Bestand!$AC$14:$AC$213,MATCH(A786,Bestand!$A$14:$A$213,0)),0))</f>
        <v/>
      </c>
      <c r="N786" s="69">
        <f>IF(OR(H786="",M786&lt;&gt;1),"",C786+ROW()/100000)</f>
        <v/>
      </c>
    </row>
    <row r="787" ht="20" customHeight="1">
      <c r="A787" s="60" t="n"/>
      <c r="B787" s="65">
        <f>IF(A787="","",IFERROR(INDEX(Bestand!$B$14:$B$213,MATCH(A787,Bestand!$A$14:$A$213,0)),"ID unbekannt"))</f>
        <v/>
      </c>
      <c r="C787" s="63" t="n"/>
      <c r="D787" s="62" t="n"/>
      <c r="E787" s="60" t="n"/>
      <c r="F787" s="60" t="n"/>
      <c r="G787" s="61" t="n"/>
      <c r="H787" s="69">
        <f>IF(OR(A787="",C787=""),"",COUNTIFS($A$7:$A$1006,A787,$C$7:$C$1006,"&lt;"&amp;C787)+1)</f>
        <v/>
      </c>
      <c r="I787" s="67">
        <f>IF(H787="","",IF(H787=1,"",C787-_xlfn.MAXIFS($C$7:$C$1006,$A$7:$A$1006,A787,$C$7:$C$1006,"&lt;"&amp;C787)))</f>
        <v/>
      </c>
      <c r="J787" s="68">
        <f>IF(I787="","",I787/TpM)</f>
        <v/>
      </c>
      <c r="K787" s="69">
        <f>IF(H787="","",COUNTIFS($A$7:$A$1006,A787,$C$7:$C$1006,"&gt;0")-H787)</f>
        <v/>
      </c>
      <c r="L787" s="69">
        <f>IF(H787="","",A787&amp;"|"&amp;H787)</f>
        <v/>
      </c>
      <c r="M787" s="69">
        <f>IF(A787="","",IFERROR(INDEX(Bestand!$AC$14:$AC$213,MATCH(A787,Bestand!$A$14:$A$213,0)),0))</f>
        <v/>
      </c>
      <c r="N787" s="69">
        <f>IF(OR(H787="",M787&lt;&gt;1),"",C787+ROW()/100000)</f>
        <v/>
      </c>
    </row>
    <row r="788" ht="20" customHeight="1">
      <c r="A788" s="60" t="n"/>
      <c r="B788" s="65">
        <f>IF(A788="","",IFERROR(INDEX(Bestand!$B$14:$B$213,MATCH(A788,Bestand!$A$14:$A$213,0)),"ID unbekannt"))</f>
        <v/>
      </c>
      <c r="C788" s="63" t="n"/>
      <c r="D788" s="62" t="n"/>
      <c r="E788" s="60" t="n"/>
      <c r="F788" s="60" t="n"/>
      <c r="G788" s="61" t="n"/>
      <c r="H788" s="69">
        <f>IF(OR(A788="",C788=""),"",COUNTIFS($A$7:$A$1006,A788,$C$7:$C$1006,"&lt;"&amp;C788)+1)</f>
        <v/>
      </c>
      <c r="I788" s="67">
        <f>IF(H788="","",IF(H788=1,"",C788-_xlfn.MAXIFS($C$7:$C$1006,$A$7:$A$1006,A788,$C$7:$C$1006,"&lt;"&amp;C788)))</f>
        <v/>
      </c>
      <c r="J788" s="68">
        <f>IF(I788="","",I788/TpM)</f>
        <v/>
      </c>
      <c r="K788" s="69">
        <f>IF(H788="","",COUNTIFS($A$7:$A$1006,A788,$C$7:$C$1006,"&gt;0")-H788)</f>
        <v/>
      </c>
      <c r="L788" s="69">
        <f>IF(H788="","",A788&amp;"|"&amp;H788)</f>
        <v/>
      </c>
      <c r="M788" s="69">
        <f>IF(A788="","",IFERROR(INDEX(Bestand!$AC$14:$AC$213,MATCH(A788,Bestand!$A$14:$A$213,0)),0))</f>
        <v/>
      </c>
      <c r="N788" s="69">
        <f>IF(OR(H788="",M788&lt;&gt;1),"",C788+ROW()/100000)</f>
        <v/>
      </c>
    </row>
    <row r="789" ht="20" customHeight="1">
      <c r="A789" s="60" t="n"/>
      <c r="B789" s="65">
        <f>IF(A789="","",IFERROR(INDEX(Bestand!$B$14:$B$213,MATCH(A789,Bestand!$A$14:$A$213,0)),"ID unbekannt"))</f>
        <v/>
      </c>
      <c r="C789" s="63" t="n"/>
      <c r="D789" s="62" t="n"/>
      <c r="E789" s="60" t="n"/>
      <c r="F789" s="60" t="n"/>
      <c r="G789" s="61" t="n"/>
      <c r="H789" s="69">
        <f>IF(OR(A789="",C789=""),"",COUNTIFS($A$7:$A$1006,A789,$C$7:$C$1006,"&lt;"&amp;C789)+1)</f>
        <v/>
      </c>
      <c r="I789" s="67">
        <f>IF(H789="","",IF(H789=1,"",C789-_xlfn.MAXIFS($C$7:$C$1006,$A$7:$A$1006,A789,$C$7:$C$1006,"&lt;"&amp;C789)))</f>
        <v/>
      </c>
      <c r="J789" s="68">
        <f>IF(I789="","",I789/TpM)</f>
        <v/>
      </c>
      <c r="K789" s="69">
        <f>IF(H789="","",COUNTIFS($A$7:$A$1006,A789,$C$7:$C$1006,"&gt;0")-H789)</f>
        <v/>
      </c>
      <c r="L789" s="69">
        <f>IF(H789="","",A789&amp;"|"&amp;H789)</f>
        <v/>
      </c>
      <c r="M789" s="69">
        <f>IF(A789="","",IFERROR(INDEX(Bestand!$AC$14:$AC$213,MATCH(A789,Bestand!$A$14:$A$213,0)),0))</f>
        <v/>
      </c>
      <c r="N789" s="69">
        <f>IF(OR(H789="",M789&lt;&gt;1),"",C789+ROW()/100000)</f>
        <v/>
      </c>
    </row>
    <row r="790" ht="20" customHeight="1">
      <c r="A790" s="60" t="n"/>
      <c r="B790" s="65">
        <f>IF(A790="","",IFERROR(INDEX(Bestand!$B$14:$B$213,MATCH(A790,Bestand!$A$14:$A$213,0)),"ID unbekannt"))</f>
        <v/>
      </c>
      <c r="C790" s="63" t="n"/>
      <c r="D790" s="62" t="n"/>
      <c r="E790" s="60" t="n"/>
      <c r="F790" s="60" t="n"/>
      <c r="G790" s="61" t="n"/>
      <c r="H790" s="69">
        <f>IF(OR(A790="",C790=""),"",COUNTIFS($A$7:$A$1006,A790,$C$7:$C$1006,"&lt;"&amp;C790)+1)</f>
        <v/>
      </c>
      <c r="I790" s="67">
        <f>IF(H790="","",IF(H790=1,"",C790-_xlfn.MAXIFS($C$7:$C$1006,$A$7:$A$1006,A790,$C$7:$C$1006,"&lt;"&amp;C790)))</f>
        <v/>
      </c>
      <c r="J790" s="68">
        <f>IF(I790="","",I790/TpM)</f>
        <v/>
      </c>
      <c r="K790" s="69">
        <f>IF(H790="","",COUNTIFS($A$7:$A$1006,A790,$C$7:$C$1006,"&gt;0")-H790)</f>
        <v/>
      </c>
      <c r="L790" s="69">
        <f>IF(H790="","",A790&amp;"|"&amp;H790)</f>
        <v/>
      </c>
      <c r="M790" s="69">
        <f>IF(A790="","",IFERROR(INDEX(Bestand!$AC$14:$AC$213,MATCH(A790,Bestand!$A$14:$A$213,0)),0))</f>
        <v/>
      </c>
      <c r="N790" s="69">
        <f>IF(OR(H790="",M790&lt;&gt;1),"",C790+ROW()/100000)</f>
        <v/>
      </c>
    </row>
    <row r="791" ht="20" customHeight="1">
      <c r="A791" s="60" t="n"/>
      <c r="B791" s="65">
        <f>IF(A791="","",IFERROR(INDEX(Bestand!$B$14:$B$213,MATCH(A791,Bestand!$A$14:$A$213,0)),"ID unbekannt"))</f>
        <v/>
      </c>
      <c r="C791" s="63" t="n"/>
      <c r="D791" s="62" t="n"/>
      <c r="E791" s="60" t="n"/>
      <c r="F791" s="60" t="n"/>
      <c r="G791" s="61" t="n"/>
      <c r="H791" s="69">
        <f>IF(OR(A791="",C791=""),"",COUNTIFS($A$7:$A$1006,A791,$C$7:$C$1006,"&lt;"&amp;C791)+1)</f>
        <v/>
      </c>
      <c r="I791" s="67">
        <f>IF(H791="","",IF(H791=1,"",C791-_xlfn.MAXIFS($C$7:$C$1006,$A$7:$A$1006,A791,$C$7:$C$1006,"&lt;"&amp;C791)))</f>
        <v/>
      </c>
      <c r="J791" s="68">
        <f>IF(I791="","",I791/TpM)</f>
        <v/>
      </c>
      <c r="K791" s="69">
        <f>IF(H791="","",COUNTIFS($A$7:$A$1006,A791,$C$7:$C$1006,"&gt;0")-H791)</f>
        <v/>
      </c>
      <c r="L791" s="69">
        <f>IF(H791="","",A791&amp;"|"&amp;H791)</f>
        <v/>
      </c>
      <c r="M791" s="69">
        <f>IF(A791="","",IFERROR(INDEX(Bestand!$AC$14:$AC$213,MATCH(A791,Bestand!$A$14:$A$213,0)),0))</f>
        <v/>
      </c>
      <c r="N791" s="69">
        <f>IF(OR(H791="",M791&lt;&gt;1),"",C791+ROW()/100000)</f>
        <v/>
      </c>
    </row>
    <row r="792" ht="20" customHeight="1">
      <c r="A792" s="60" t="n"/>
      <c r="B792" s="65">
        <f>IF(A792="","",IFERROR(INDEX(Bestand!$B$14:$B$213,MATCH(A792,Bestand!$A$14:$A$213,0)),"ID unbekannt"))</f>
        <v/>
      </c>
      <c r="C792" s="63" t="n"/>
      <c r="D792" s="62" t="n"/>
      <c r="E792" s="60" t="n"/>
      <c r="F792" s="60" t="n"/>
      <c r="G792" s="61" t="n"/>
      <c r="H792" s="69">
        <f>IF(OR(A792="",C792=""),"",COUNTIFS($A$7:$A$1006,A792,$C$7:$C$1006,"&lt;"&amp;C792)+1)</f>
        <v/>
      </c>
      <c r="I792" s="67">
        <f>IF(H792="","",IF(H792=1,"",C792-_xlfn.MAXIFS($C$7:$C$1006,$A$7:$A$1006,A792,$C$7:$C$1006,"&lt;"&amp;C792)))</f>
        <v/>
      </c>
      <c r="J792" s="68">
        <f>IF(I792="","",I792/TpM)</f>
        <v/>
      </c>
      <c r="K792" s="69">
        <f>IF(H792="","",COUNTIFS($A$7:$A$1006,A792,$C$7:$C$1006,"&gt;0")-H792)</f>
        <v/>
      </c>
      <c r="L792" s="69">
        <f>IF(H792="","",A792&amp;"|"&amp;H792)</f>
        <v/>
      </c>
      <c r="M792" s="69">
        <f>IF(A792="","",IFERROR(INDEX(Bestand!$AC$14:$AC$213,MATCH(A792,Bestand!$A$14:$A$213,0)),0))</f>
        <v/>
      </c>
      <c r="N792" s="69">
        <f>IF(OR(H792="",M792&lt;&gt;1),"",C792+ROW()/100000)</f>
        <v/>
      </c>
    </row>
    <row r="793" ht="20" customHeight="1">
      <c r="A793" s="60" t="n"/>
      <c r="B793" s="65">
        <f>IF(A793="","",IFERROR(INDEX(Bestand!$B$14:$B$213,MATCH(A793,Bestand!$A$14:$A$213,0)),"ID unbekannt"))</f>
        <v/>
      </c>
      <c r="C793" s="63" t="n"/>
      <c r="D793" s="62" t="n"/>
      <c r="E793" s="60" t="n"/>
      <c r="F793" s="60" t="n"/>
      <c r="G793" s="61" t="n"/>
      <c r="H793" s="69">
        <f>IF(OR(A793="",C793=""),"",COUNTIFS($A$7:$A$1006,A793,$C$7:$C$1006,"&lt;"&amp;C793)+1)</f>
        <v/>
      </c>
      <c r="I793" s="67">
        <f>IF(H793="","",IF(H793=1,"",C793-_xlfn.MAXIFS($C$7:$C$1006,$A$7:$A$1006,A793,$C$7:$C$1006,"&lt;"&amp;C793)))</f>
        <v/>
      </c>
      <c r="J793" s="68">
        <f>IF(I793="","",I793/TpM)</f>
        <v/>
      </c>
      <c r="K793" s="69">
        <f>IF(H793="","",COUNTIFS($A$7:$A$1006,A793,$C$7:$C$1006,"&gt;0")-H793)</f>
        <v/>
      </c>
      <c r="L793" s="69">
        <f>IF(H793="","",A793&amp;"|"&amp;H793)</f>
        <v/>
      </c>
      <c r="M793" s="69">
        <f>IF(A793="","",IFERROR(INDEX(Bestand!$AC$14:$AC$213,MATCH(A793,Bestand!$A$14:$A$213,0)),0))</f>
        <v/>
      </c>
      <c r="N793" s="69">
        <f>IF(OR(H793="",M793&lt;&gt;1),"",C793+ROW()/100000)</f>
        <v/>
      </c>
    </row>
    <row r="794" ht="20" customHeight="1">
      <c r="A794" s="60" t="n"/>
      <c r="B794" s="65">
        <f>IF(A794="","",IFERROR(INDEX(Bestand!$B$14:$B$213,MATCH(A794,Bestand!$A$14:$A$213,0)),"ID unbekannt"))</f>
        <v/>
      </c>
      <c r="C794" s="63" t="n"/>
      <c r="D794" s="62" t="n"/>
      <c r="E794" s="60" t="n"/>
      <c r="F794" s="60" t="n"/>
      <c r="G794" s="61" t="n"/>
      <c r="H794" s="69">
        <f>IF(OR(A794="",C794=""),"",COUNTIFS($A$7:$A$1006,A794,$C$7:$C$1006,"&lt;"&amp;C794)+1)</f>
        <v/>
      </c>
      <c r="I794" s="67">
        <f>IF(H794="","",IF(H794=1,"",C794-_xlfn.MAXIFS($C$7:$C$1006,$A$7:$A$1006,A794,$C$7:$C$1006,"&lt;"&amp;C794)))</f>
        <v/>
      </c>
      <c r="J794" s="68">
        <f>IF(I794="","",I794/TpM)</f>
        <v/>
      </c>
      <c r="K794" s="69">
        <f>IF(H794="","",COUNTIFS($A$7:$A$1006,A794,$C$7:$C$1006,"&gt;0")-H794)</f>
        <v/>
      </c>
      <c r="L794" s="69">
        <f>IF(H794="","",A794&amp;"|"&amp;H794)</f>
        <v/>
      </c>
      <c r="M794" s="69">
        <f>IF(A794="","",IFERROR(INDEX(Bestand!$AC$14:$AC$213,MATCH(A794,Bestand!$A$14:$A$213,0)),0))</f>
        <v/>
      </c>
      <c r="N794" s="69">
        <f>IF(OR(H794="",M794&lt;&gt;1),"",C794+ROW()/100000)</f>
        <v/>
      </c>
    </row>
    <row r="795" ht="20" customHeight="1">
      <c r="A795" s="60" t="n"/>
      <c r="B795" s="65">
        <f>IF(A795="","",IFERROR(INDEX(Bestand!$B$14:$B$213,MATCH(A795,Bestand!$A$14:$A$213,0)),"ID unbekannt"))</f>
        <v/>
      </c>
      <c r="C795" s="63" t="n"/>
      <c r="D795" s="62" t="n"/>
      <c r="E795" s="60" t="n"/>
      <c r="F795" s="60" t="n"/>
      <c r="G795" s="61" t="n"/>
      <c r="H795" s="69">
        <f>IF(OR(A795="",C795=""),"",COUNTIFS($A$7:$A$1006,A795,$C$7:$C$1006,"&lt;"&amp;C795)+1)</f>
        <v/>
      </c>
      <c r="I795" s="67">
        <f>IF(H795="","",IF(H795=1,"",C795-_xlfn.MAXIFS($C$7:$C$1006,$A$7:$A$1006,A795,$C$7:$C$1006,"&lt;"&amp;C795)))</f>
        <v/>
      </c>
      <c r="J795" s="68">
        <f>IF(I795="","",I795/TpM)</f>
        <v/>
      </c>
      <c r="K795" s="69">
        <f>IF(H795="","",COUNTIFS($A$7:$A$1006,A795,$C$7:$C$1006,"&gt;0")-H795)</f>
        <v/>
      </c>
      <c r="L795" s="69">
        <f>IF(H795="","",A795&amp;"|"&amp;H795)</f>
        <v/>
      </c>
      <c r="M795" s="69">
        <f>IF(A795="","",IFERROR(INDEX(Bestand!$AC$14:$AC$213,MATCH(A795,Bestand!$A$14:$A$213,0)),0))</f>
        <v/>
      </c>
      <c r="N795" s="69">
        <f>IF(OR(H795="",M795&lt;&gt;1),"",C795+ROW()/100000)</f>
        <v/>
      </c>
    </row>
    <row r="796" ht="20" customHeight="1">
      <c r="A796" s="60" t="n"/>
      <c r="B796" s="65">
        <f>IF(A796="","",IFERROR(INDEX(Bestand!$B$14:$B$213,MATCH(A796,Bestand!$A$14:$A$213,0)),"ID unbekannt"))</f>
        <v/>
      </c>
      <c r="C796" s="63" t="n"/>
      <c r="D796" s="62" t="n"/>
      <c r="E796" s="60" t="n"/>
      <c r="F796" s="60" t="n"/>
      <c r="G796" s="61" t="n"/>
      <c r="H796" s="69">
        <f>IF(OR(A796="",C796=""),"",COUNTIFS($A$7:$A$1006,A796,$C$7:$C$1006,"&lt;"&amp;C796)+1)</f>
        <v/>
      </c>
      <c r="I796" s="67">
        <f>IF(H796="","",IF(H796=1,"",C796-_xlfn.MAXIFS($C$7:$C$1006,$A$7:$A$1006,A796,$C$7:$C$1006,"&lt;"&amp;C796)))</f>
        <v/>
      </c>
      <c r="J796" s="68">
        <f>IF(I796="","",I796/TpM)</f>
        <v/>
      </c>
      <c r="K796" s="69">
        <f>IF(H796="","",COUNTIFS($A$7:$A$1006,A796,$C$7:$C$1006,"&gt;0")-H796)</f>
        <v/>
      </c>
      <c r="L796" s="69">
        <f>IF(H796="","",A796&amp;"|"&amp;H796)</f>
        <v/>
      </c>
      <c r="M796" s="69">
        <f>IF(A796="","",IFERROR(INDEX(Bestand!$AC$14:$AC$213,MATCH(A796,Bestand!$A$14:$A$213,0)),0))</f>
        <v/>
      </c>
      <c r="N796" s="69">
        <f>IF(OR(H796="",M796&lt;&gt;1),"",C796+ROW()/100000)</f>
        <v/>
      </c>
    </row>
    <row r="797" ht="20" customHeight="1">
      <c r="A797" s="60" t="n"/>
      <c r="B797" s="65">
        <f>IF(A797="","",IFERROR(INDEX(Bestand!$B$14:$B$213,MATCH(A797,Bestand!$A$14:$A$213,0)),"ID unbekannt"))</f>
        <v/>
      </c>
      <c r="C797" s="63" t="n"/>
      <c r="D797" s="62" t="n"/>
      <c r="E797" s="60" t="n"/>
      <c r="F797" s="60" t="n"/>
      <c r="G797" s="61" t="n"/>
      <c r="H797" s="69">
        <f>IF(OR(A797="",C797=""),"",COUNTIFS($A$7:$A$1006,A797,$C$7:$C$1006,"&lt;"&amp;C797)+1)</f>
        <v/>
      </c>
      <c r="I797" s="67">
        <f>IF(H797="","",IF(H797=1,"",C797-_xlfn.MAXIFS($C$7:$C$1006,$A$7:$A$1006,A797,$C$7:$C$1006,"&lt;"&amp;C797)))</f>
        <v/>
      </c>
      <c r="J797" s="68">
        <f>IF(I797="","",I797/TpM)</f>
        <v/>
      </c>
      <c r="K797" s="69">
        <f>IF(H797="","",COUNTIFS($A$7:$A$1006,A797,$C$7:$C$1006,"&gt;0")-H797)</f>
        <v/>
      </c>
      <c r="L797" s="69">
        <f>IF(H797="","",A797&amp;"|"&amp;H797)</f>
        <v/>
      </c>
      <c r="M797" s="69">
        <f>IF(A797="","",IFERROR(INDEX(Bestand!$AC$14:$AC$213,MATCH(A797,Bestand!$A$14:$A$213,0)),0))</f>
        <v/>
      </c>
      <c r="N797" s="69">
        <f>IF(OR(H797="",M797&lt;&gt;1),"",C797+ROW()/100000)</f>
        <v/>
      </c>
    </row>
    <row r="798" ht="20" customHeight="1">
      <c r="A798" s="60" t="n"/>
      <c r="B798" s="65">
        <f>IF(A798="","",IFERROR(INDEX(Bestand!$B$14:$B$213,MATCH(A798,Bestand!$A$14:$A$213,0)),"ID unbekannt"))</f>
        <v/>
      </c>
      <c r="C798" s="63" t="n"/>
      <c r="D798" s="62" t="n"/>
      <c r="E798" s="60" t="n"/>
      <c r="F798" s="60" t="n"/>
      <c r="G798" s="61" t="n"/>
      <c r="H798" s="69">
        <f>IF(OR(A798="",C798=""),"",COUNTIFS($A$7:$A$1006,A798,$C$7:$C$1006,"&lt;"&amp;C798)+1)</f>
        <v/>
      </c>
      <c r="I798" s="67">
        <f>IF(H798="","",IF(H798=1,"",C798-_xlfn.MAXIFS($C$7:$C$1006,$A$7:$A$1006,A798,$C$7:$C$1006,"&lt;"&amp;C798)))</f>
        <v/>
      </c>
      <c r="J798" s="68">
        <f>IF(I798="","",I798/TpM)</f>
        <v/>
      </c>
      <c r="K798" s="69">
        <f>IF(H798="","",COUNTIFS($A$7:$A$1006,A798,$C$7:$C$1006,"&gt;0")-H798)</f>
        <v/>
      </c>
      <c r="L798" s="69">
        <f>IF(H798="","",A798&amp;"|"&amp;H798)</f>
        <v/>
      </c>
      <c r="M798" s="69">
        <f>IF(A798="","",IFERROR(INDEX(Bestand!$AC$14:$AC$213,MATCH(A798,Bestand!$A$14:$A$213,0)),0))</f>
        <v/>
      </c>
      <c r="N798" s="69">
        <f>IF(OR(H798="",M798&lt;&gt;1),"",C798+ROW()/100000)</f>
        <v/>
      </c>
    </row>
    <row r="799" ht="20" customHeight="1">
      <c r="A799" s="60" t="n"/>
      <c r="B799" s="65">
        <f>IF(A799="","",IFERROR(INDEX(Bestand!$B$14:$B$213,MATCH(A799,Bestand!$A$14:$A$213,0)),"ID unbekannt"))</f>
        <v/>
      </c>
      <c r="C799" s="63" t="n"/>
      <c r="D799" s="62" t="n"/>
      <c r="E799" s="60" t="n"/>
      <c r="F799" s="60" t="n"/>
      <c r="G799" s="61" t="n"/>
      <c r="H799" s="69">
        <f>IF(OR(A799="",C799=""),"",COUNTIFS($A$7:$A$1006,A799,$C$7:$C$1006,"&lt;"&amp;C799)+1)</f>
        <v/>
      </c>
      <c r="I799" s="67">
        <f>IF(H799="","",IF(H799=1,"",C799-_xlfn.MAXIFS($C$7:$C$1006,$A$7:$A$1006,A799,$C$7:$C$1006,"&lt;"&amp;C799)))</f>
        <v/>
      </c>
      <c r="J799" s="68">
        <f>IF(I799="","",I799/TpM)</f>
        <v/>
      </c>
      <c r="K799" s="69">
        <f>IF(H799="","",COUNTIFS($A$7:$A$1006,A799,$C$7:$C$1006,"&gt;0")-H799)</f>
        <v/>
      </c>
      <c r="L799" s="69">
        <f>IF(H799="","",A799&amp;"|"&amp;H799)</f>
        <v/>
      </c>
      <c r="M799" s="69">
        <f>IF(A799="","",IFERROR(INDEX(Bestand!$AC$14:$AC$213,MATCH(A799,Bestand!$A$14:$A$213,0)),0))</f>
        <v/>
      </c>
      <c r="N799" s="69">
        <f>IF(OR(H799="",M799&lt;&gt;1),"",C799+ROW()/100000)</f>
        <v/>
      </c>
    </row>
    <row r="800" ht="20" customHeight="1">
      <c r="A800" s="60" t="n"/>
      <c r="B800" s="65">
        <f>IF(A800="","",IFERROR(INDEX(Bestand!$B$14:$B$213,MATCH(A800,Bestand!$A$14:$A$213,0)),"ID unbekannt"))</f>
        <v/>
      </c>
      <c r="C800" s="63" t="n"/>
      <c r="D800" s="62" t="n"/>
      <c r="E800" s="60" t="n"/>
      <c r="F800" s="60" t="n"/>
      <c r="G800" s="61" t="n"/>
      <c r="H800" s="69">
        <f>IF(OR(A800="",C800=""),"",COUNTIFS($A$7:$A$1006,A800,$C$7:$C$1006,"&lt;"&amp;C800)+1)</f>
        <v/>
      </c>
      <c r="I800" s="67">
        <f>IF(H800="","",IF(H800=1,"",C800-_xlfn.MAXIFS($C$7:$C$1006,$A$7:$A$1006,A800,$C$7:$C$1006,"&lt;"&amp;C800)))</f>
        <v/>
      </c>
      <c r="J800" s="68">
        <f>IF(I800="","",I800/TpM)</f>
        <v/>
      </c>
      <c r="K800" s="69">
        <f>IF(H800="","",COUNTIFS($A$7:$A$1006,A800,$C$7:$C$1006,"&gt;0")-H800)</f>
        <v/>
      </c>
      <c r="L800" s="69">
        <f>IF(H800="","",A800&amp;"|"&amp;H800)</f>
        <v/>
      </c>
      <c r="M800" s="69">
        <f>IF(A800="","",IFERROR(INDEX(Bestand!$AC$14:$AC$213,MATCH(A800,Bestand!$A$14:$A$213,0)),0))</f>
        <v/>
      </c>
      <c r="N800" s="69">
        <f>IF(OR(H800="",M800&lt;&gt;1),"",C800+ROW()/100000)</f>
        <v/>
      </c>
    </row>
    <row r="801" ht="20" customHeight="1">
      <c r="A801" s="60" t="n"/>
      <c r="B801" s="65">
        <f>IF(A801="","",IFERROR(INDEX(Bestand!$B$14:$B$213,MATCH(A801,Bestand!$A$14:$A$213,0)),"ID unbekannt"))</f>
        <v/>
      </c>
      <c r="C801" s="63" t="n"/>
      <c r="D801" s="62" t="n"/>
      <c r="E801" s="60" t="n"/>
      <c r="F801" s="60" t="n"/>
      <c r="G801" s="61" t="n"/>
      <c r="H801" s="69">
        <f>IF(OR(A801="",C801=""),"",COUNTIFS($A$7:$A$1006,A801,$C$7:$C$1006,"&lt;"&amp;C801)+1)</f>
        <v/>
      </c>
      <c r="I801" s="67">
        <f>IF(H801="","",IF(H801=1,"",C801-_xlfn.MAXIFS($C$7:$C$1006,$A$7:$A$1006,A801,$C$7:$C$1006,"&lt;"&amp;C801)))</f>
        <v/>
      </c>
      <c r="J801" s="68">
        <f>IF(I801="","",I801/TpM)</f>
        <v/>
      </c>
      <c r="K801" s="69">
        <f>IF(H801="","",COUNTIFS($A$7:$A$1006,A801,$C$7:$C$1006,"&gt;0")-H801)</f>
        <v/>
      </c>
      <c r="L801" s="69">
        <f>IF(H801="","",A801&amp;"|"&amp;H801)</f>
        <v/>
      </c>
      <c r="M801" s="69">
        <f>IF(A801="","",IFERROR(INDEX(Bestand!$AC$14:$AC$213,MATCH(A801,Bestand!$A$14:$A$213,0)),0))</f>
        <v/>
      </c>
      <c r="N801" s="69">
        <f>IF(OR(H801="",M801&lt;&gt;1),"",C801+ROW()/100000)</f>
        <v/>
      </c>
    </row>
    <row r="802" ht="20" customHeight="1">
      <c r="A802" s="60" t="n"/>
      <c r="B802" s="65">
        <f>IF(A802="","",IFERROR(INDEX(Bestand!$B$14:$B$213,MATCH(A802,Bestand!$A$14:$A$213,0)),"ID unbekannt"))</f>
        <v/>
      </c>
      <c r="C802" s="63" t="n"/>
      <c r="D802" s="62" t="n"/>
      <c r="E802" s="60" t="n"/>
      <c r="F802" s="60" t="n"/>
      <c r="G802" s="61" t="n"/>
      <c r="H802" s="69">
        <f>IF(OR(A802="",C802=""),"",COUNTIFS($A$7:$A$1006,A802,$C$7:$C$1006,"&lt;"&amp;C802)+1)</f>
        <v/>
      </c>
      <c r="I802" s="67">
        <f>IF(H802="","",IF(H802=1,"",C802-_xlfn.MAXIFS($C$7:$C$1006,$A$7:$A$1006,A802,$C$7:$C$1006,"&lt;"&amp;C802)))</f>
        <v/>
      </c>
      <c r="J802" s="68">
        <f>IF(I802="","",I802/TpM)</f>
        <v/>
      </c>
      <c r="K802" s="69">
        <f>IF(H802="","",COUNTIFS($A$7:$A$1006,A802,$C$7:$C$1006,"&gt;0")-H802)</f>
        <v/>
      </c>
      <c r="L802" s="69">
        <f>IF(H802="","",A802&amp;"|"&amp;H802)</f>
        <v/>
      </c>
      <c r="M802" s="69">
        <f>IF(A802="","",IFERROR(INDEX(Bestand!$AC$14:$AC$213,MATCH(A802,Bestand!$A$14:$A$213,0)),0))</f>
        <v/>
      </c>
      <c r="N802" s="69">
        <f>IF(OR(H802="",M802&lt;&gt;1),"",C802+ROW()/100000)</f>
        <v/>
      </c>
    </row>
    <row r="803" ht="20" customHeight="1">
      <c r="A803" s="60" t="n"/>
      <c r="B803" s="65">
        <f>IF(A803="","",IFERROR(INDEX(Bestand!$B$14:$B$213,MATCH(A803,Bestand!$A$14:$A$213,0)),"ID unbekannt"))</f>
        <v/>
      </c>
      <c r="C803" s="63" t="n"/>
      <c r="D803" s="62" t="n"/>
      <c r="E803" s="60" t="n"/>
      <c r="F803" s="60" t="n"/>
      <c r="G803" s="61" t="n"/>
      <c r="H803" s="69">
        <f>IF(OR(A803="",C803=""),"",COUNTIFS($A$7:$A$1006,A803,$C$7:$C$1006,"&lt;"&amp;C803)+1)</f>
        <v/>
      </c>
      <c r="I803" s="67">
        <f>IF(H803="","",IF(H803=1,"",C803-_xlfn.MAXIFS($C$7:$C$1006,$A$7:$A$1006,A803,$C$7:$C$1006,"&lt;"&amp;C803)))</f>
        <v/>
      </c>
      <c r="J803" s="68">
        <f>IF(I803="","",I803/TpM)</f>
        <v/>
      </c>
      <c r="K803" s="69">
        <f>IF(H803="","",COUNTIFS($A$7:$A$1006,A803,$C$7:$C$1006,"&gt;0")-H803)</f>
        <v/>
      </c>
      <c r="L803" s="69">
        <f>IF(H803="","",A803&amp;"|"&amp;H803)</f>
        <v/>
      </c>
      <c r="M803" s="69">
        <f>IF(A803="","",IFERROR(INDEX(Bestand!$AC$14:$AC$213,MATCH(A803,Bestand!$A$14:$A$213,0)),0))</f>
        <v/>
      </c>
      <c r="N803" s="69">
        <f>IF(OR(H803="",M803&lt;&gt;1),"",C803+ROW()/100000)</f>
        <v/>
      </c>
    </row>
    <row r="804" ht="20" customHeight="1">
      <c r="A804" s="60" t="n"/>
      <c r="B804" s="65">
        <f>IF(A804="","",IFERROR(INDEX(Bestand!$B$14:$B$213,MATCH(A804,Bestand!$A$14:$A$213,0)),"ID unbekannt"))</f>
        <v/>
      </c>
      <c r="C804" s="63" t="n"/>
      <c r="D804" s="62" t="n"/>
      <c r="E804" s="60" t="n"/>
      <c r="F804" s="60" t="n"/>
      <c r="G804" s="61" t="n"/>
      <c r="H804" s="69">
        <f>IF(OR(A804="",C804=""),"",COUNTIFS($A$7:$A$1006,A804,$C$7:$C$1006,"&lt;"&amp;C804)+1)</f>
        <v/>
      </c>
      <c r="I804" s="67">
        <f>IF(H804="","",IF(H804=1,"",C804-_xlfn.MAXIFS($C$7:$C$1006,$A$7:$A$1006,A804,$C$7:$C$1006,"&lt;"&amp;C804)))</f>
        <v/>
      </c>
      <c r="J804" s="68">
        <f>IF(I804="","",I804/TpM)</f>
        <v/>
      </c>
      <c r="K804" s="69">
        <f>IF(H804="","",COUNTIFS($A$7:$A$1006,A804,$C$7:$C$1006,"&gt;0")-H804)</f>
        <v/>
      </c>
      <c r="L804" s="69">
        <f>IF(H804="","",A804&amp;"|"&amp;H804)</f>
        <v/>
      </c>
      <c r="M804" s="69">
        <f>IF(A804="","",IFERROR(INDEX(Bestand!$AC$14:$AC$213,MATCH(A804,Bestand!$A$14:$A$213,0)),0))</f>
        <v/>
      </c>
      <c r="N804" s="69">
        <f>IF(OR(H804="",M804&lt;&gt;1),"",C804+ROW()/100000)</f>
        <v/>
      </c>
    </row>
    <row r="805" ht="20" customHeight="1">
      <c r="A805" s="60" t="n"/>
      <c r="B805" s="65">
        <f>IF(A805="","",IFERROR(INDEX(Bestand!$B$14:$B$213,MATCH(A805,Bestand!$A$14:$A$213,0)),"ID unbekannt"))</f>
        <v/>
      </c>
      <c r="C805" s="63" t="n"/>
      <c r="D805" s="62" t="n"/>
      <c r="E805" s="60" t="n"/>
      <c r="F805" s="60" t="n"/>
      <c r="G805" s="61" t="n"/>
      <c r="H805" s="69">
        <f>IF(OR(A805="",C805=""),"",COUNTIFS($A$7:$A$1006,A805,$C$7:$C$1006,"&lt;"&amp;C805)+1)</f>
        <v/>
      </c>
      <c r="I805" s="67">
        <f>IF(H805="","",IF(H805=1,"",C805-_xlfn.MAXIFS($C$7:$C$1006,$A$7:$A$1006,A805,$C$7:$C$1006,"&lt;"&amp;C805)))</f>
        <v/>
      </c>
      <c r="J805" s="68">
        <f>IF(I805="","",I805/TpM)</f>
        <v/>
      </c>
      <c r="K805" s="69">
        <f>IF(H805="","",COUNTIFS($A$7:$A$1006,A805,$C$7:$C$1006,"&gt;0")-H805)</f>
        <v/>
      </c>
      <c r="L805" s="69">
        <f>IF(H805="","",A805&amp;"|"&amp;H805)</f>
        <v/>
      </c>
      <c r="M805" s="69">
        <f>IF(A805="","",IFERROR(INDEX(Bestand!$AC$14:$AC$213,MATCH(A805,Bestand!$A$14:$A$213,0)),0))</f>
        <v/>
      </c>
      <c r="N805" s="69">
        <f>IF(OR(H805="",M805&lt;&gt;1),"",C805+ROW()/100000)</f>
        <v/>
      </c>
    </row>
    <row r="806" ht="20" customHeight="1">
      <c r="A806" s="60" t="n"/>
      <c r="B806" s="65">
        <f>IF(A806="","",IFERROR(INDEX(Bestand!$B$14:$B$213,MATCH(A806,Bestand!$A$14:$A$213,0)),"ID unbekannt"))</f>
        <v/>
      </c>
      <c r="C806" s="63" t="n"/>
      <c r="D806" s="62" t="n"/>
      <c r="E806" s="60" t="n"/>
      <c r="F806" s="60" t="n"/>
      <c r="G806" s="61" t="n"/>
      <c r="H806" s="69">
        <f>IF(OR(A806="",C806=""),"",COUNTIFS($A$7:$A$1006,A806,$C$7:$C$1006,"&lt;"&amp;C806)+1)</f>
        <v/>
      </c>
      <c r="I806" s="67">
        <f>IF(H806="","",IF(H806=1,"",C806-_xlfn.MAXIFS($C$7:$C$1006,$A$7:$A$1006,A806,$C$7:$C$1006,"&lt;"&amp;C806)))</f>
        <v/>
      </c>
      <c r="J806" s="68">
        <f>IF(I806="","",I806/TpM)</f>
        <v/>
      </c>
      <c r="K806" s="69">
        <f>IF(H806="","",COUNTIFS($A$7:$A$1006,A806,$C$7:$C$1006,"&gt;0")-H806)</f>
        <v/>
      </c>
      <c r="L806" s="69">
        <f>IF(H806="","",A806&amp;"|"&amp;H806)</f>
        <v/>
      </c>
      <c r="M806" s="69">
        <f>IF(A806="","",IFERROR(INDEX(Bestand!$AC$14:$AC$213,MATCH(A806,Bestand!$A$14:$A$213,0)),0))</f>
        <v/>
      </c>
      <c r="N806" s="69">
        <f>IF(OR(H806="",M806&lt;&gt;1),"",C806+ROW()/100000)</f>
        <v/>
      </c>
    </row>
    <row r="807" ht="20" customHeight="1">
      <c r="A807" s="60" t="n"/>
      <c r="B807" s="65">
        <f>IF(A807="","",IFERROR(INDEX(Bestand!$B$14:$B$213,MATCH(A807,Bestand!$A$14:$A$213,0)),"ID unbekannt"))</f>
        <v/>
      </c>
      <c r="C807" s="63" t="n"/>
      <c r="D807" s="62" t="n"/>
      <c r="E807" s="60" t="n"/>
      <c r="F807" s="60" t="n"/>
      <c r="G807" s="61" t="n"/>
      <c r="H807" s="69">
        <f>IF(OR(A807="",C807=""),"",COUNTIFS($A$7:$A$1006,A807,$C$7:$C$1006,"&lt;"&amp;C807)+1)</f>
        <v/>
      </c>
      <c r="I807" s="67">
        <f>IF(H807="","",IF(H807=1,"",C807-_xlfn.MAXIFS($C$7:$C$1006,$A$7:$A$1006,A807,$C$7:$C$1006,"&lt;"&amp;C807)))</f>
        <v/>
      </c>
      <c r="J807" s="68">
        <f>IF(I807="","",I807/TpM)</f>
        <v/>
      </c>
      <c r="K807" s="69">
        <f>IF(H807="","",COUNTIFS($A$7:$A$1006,A807,$C$7:$C$1006,"&gt;0")-H807)</f>
        <v/>
      </c>
      <c r="L807" s="69">
        <f>IF(H807="","",A807&amp;"|"&amp;H807)</f>
        <v/>
      </c>
      <c r="M807" s="69">
        <f>IF(A807="","",IFERROR(INDEX(Bestand!$AC$14:$AC$213,MATCH(A807,Bestand!$A$14:$A$213,0)),0))</f>
        <v/>
      </c>
      <c r="N807" s="69">
        <f>IF(OR(H807="",M807&lt;&gt;1),"",C807+ROW()/100000)</f>
        <v/>
      </c>
    </row>
    <row r="808" ht="20" customHeight="1">
      <c r="A808" s="60" t="n"/>
      <c r="B808" s="65">
        <f>IF(A808="","",IFERROR(INDEX(Bestand!$B$14:$B$213,MATCH(A808,Bestand!$A$14:$A$213,0)),"ID unbekannt"))</f>
        <v/>
      </c>
      <c r="C808" s="63" t="n"/>
      <c r="D808" s="62" t="n"/>
      <c r="E808" s="60" t="n"/>
      <c r="F808" s="60" t="n"/>
      <c r="G808" s="61" t="n"/>
      <c r="H808" s="69">
        <f>IF(OR(A808="",C808=""),"",COUNTIFS($A$7:$A$1006,A808,$C$7:$C$1006,"&lt;"&amp;C808)+1)</f>
        <v/>
      </c>
      <c r="I808" s="67">
        <f>IF(H808="","",IF(H808=1,"",C808-_xlfn.MAXIFS($C$7:$C$1006,$A$7:$A$1006,A808,$C$7:$C$1006,"&lt;"&amp;C808)))</f>
        <v/>
      </c>
      <c r="J808" s="68">
        <f>IF(I808="","",I808/TpM)</f>
        <v/>
      </c>
      <c r="K808" s="69">
        <f>IF(H808="","",COUNTIFS($A$7:$A$1006,A808,$C$7:$C$1006,"&gt;0")-H808)</f>
        <v/>
      </c>
      <c r="L808" s="69">
        <f>IF(H808="","",A808&amp;"|"&amp;H808)</f>
        <v/>
      </c>
      <c r="M808" s="69">
        <f>IF(A808="","",IFERROR(INDEX(Bestand!$AC$14:$AC$213,MATCH(A808,Bestand!$A$14:$A$213,0)),0))</f>
        <v/>
      </c>
      <c r="N808" s="69">
        <f>IF(OR(H808="",M808&lt;&gt;1),"",C808+ROW()/100000)</f>
        <v/>
      </c>
    </row>
    <row r="809" ht="20" customHeight="1">
      <c r="A809" s="60" t="n"/>
      <c r="B809" s="65">
        <f>IF(A809="","",IFERROR(INDEX(Bestand!$B$14:$B$213,MATCH(A809,Bestand!$A$14:$A$213,0)),"ID unbekannt"))</f>
        <v/>
      </c>
      <c r="C809" s="63" t="n"/>
      <c r="D809" s="62" t="n"/>
      <c r="E809" s="60" t="n"/>
      <c r="F809" s="60" t="n"/>
      <c r="G809" s="61" t="n"/>
      <c r="H809" s="69">
        <f>IF(OR(A809="",C809=""),"",COUNTIFS($A$7:$A$1006,A809,$C$7:$C$1006,"&lt;"&amp;C809)+1)</f>
        <v/>
      </c>
      <c r="I809" s="67">
        <f>IF(H809="","",IF(H809=1,"",C809-_xlfn.MAXIFS($C$7:$C$1006,$A$7:$A$1006,A809,$C$7:$C$1006,"&lt;"&amp;C809)))</f>
        <v/>
      </c>
      <c r="J809" s="68">
        <f>IF(I809="","",I809/TpM)</f>
        <v/>
      </c>
      <c r="K809" s="69">
        <f>IF(H809="","",COUNTIFS($A$7:$A$1006,A809,$C$7:$C$1006,"&gt;0")-H809)</f>
        <v/>
      </c>
      <c r="L809" s="69">
        <f>IF(H809="","",A809&amp;"|"&amp;H809)</f>
        <v/>
      </c>
      <c r="M809" s="69">
        <f>IF(A809="","",IFERROR(INDEX(Bestand!$AC$14:$AC$213,MATCH(A809,Bestand!$A$14:$A$213,0)),0))</f>
        <v/>
      </c>
      <c r="N809" s="69">
        <f>IF(OR(H809="",M809&lt;&gt;1),"",C809+ROW()/100000)</f>
        <v/>
      </c>
    </row>
    <row r="810" ht="20" customHeight="1">
      <c r="A810" s="60" t="n"/>
      <c r="B810" s="65">
        <f>IF(A810="","",IFERROR(INDEX(Bestand!$B$14:$B$213,MATCH(A810,Bestand!$A$14:$A$213,0)),"ID unbekannt"))</f>
        <v/>
      </c>
      <c r="C810" s="63" t="n"/>
      <c r="D810" s="62" t="n"/>
      <c r="E810" s="60" t="n"/>
      <c r="F810" s="60" t="n"/>
      <c r="G810" s="61" t="n"/>
      <c r="H810" s="69">
        <f>IF(OR(A810="",C810=""),"",COUNTIFS($A$7:$A$1006,A810,$C$7:$C$1006,"&lt;"&amp;C810)+1)</f>
        <v/>
      </c>
      <c r="I810" s="67">
        <f>IF(H810="","",IF(H810=1,"",C810-_xlfn.MAXIFS($C$7:$C$1006,$A$7:$A$1006,A810,$C$7:$C$1006,"&lt;"&amp;C810)))</f>
        <v/>
      </c>
      <c r="J810" s="68">
        <f>IF(I810="","",I810/TpM)</f>
        <v/>
      </c>
      <c r="K810" s="69">
        <f>IF(H810="","",COUNTIFS($A$7:$A$1006,A810,$C$7:$C$1006,"&gt;0")-H810)</f>
        <v/>
      </c>
      <c r="L810" s="69">
        <f>IF(H810="","",A810&amp;"|"&amp;H810)</f>
        <v/>
      </c>
      <c r="M810" s="69">
        <f>IF(A810="","",IFERROR(INDEX(Bestand!$AC$14:$AC$213,MATCH(A810,Bestand!$A$14:$A$213,0)),0))</f>
        <v/>
      </c>
      <c r="N810" s="69">
        <f>IF(OR(H810="",M810&lt;&gt;1),"",C810+ROW()/100000)</f>
        <v/>
      </c>
    </row>
    <row r="811" ht="20" customHeight="1">
      <c r="A811" s="60" t="n"/>
      <c r="B811" s="65">
        <f>IF(A811="","",IFERROR(INDEX(Bestand!$B$14:$B$213,MATCH(A811,Bestand!$A$14:$A$213,0)),"ID unbekannt"))</f>
        <v/>
      </c>
      <c r="C811" s="63" t="n"/>
      <c r="D811" s="62" t="n"/>
      <c r="E811" s="60" t="n"/>
      <c r="F811" s="60" t="n"/>
      <c r="G811" s="61" t="n"/>
      <c r="H811" s="69">
        <f>IF(OR(A811="",C811=""),"",COUNTIFS($A$7:$A$1006,A811,$C$7:$C$1006,"&lt;"&amp;C811)+1)</f>
        <v/>
      </c>
      <c r="I811" s="67">
        <f>IF(H811="","",IF(H811=1,"",C811-_xlfn.MAXIFS($C$7:$C$1006,$A$7:$A$1006,A811,$C$7:$C$1006,"&lt;"&amp;C811)))</f>
        <v/>
      </c>
      <c r="J811" s="68">
        <f>IF(I811="","",I811/TpM)</f>
        <v/>
      </c>
      <c r="K811" s="69">
        <f>IF(H811="","",COUNTIFS($A$7:$A$1006,A811,$C$7:$C$1006,"&gt;0")-H811)</f>
        <v/>
      </c>
      <c r="L811" s="69">
        <f>IF(H811="","",A811&amp;"|"&amp;H811)</f>
        <v/>
      </c>
      <c r="M811" s="69">
        <f>IF(A811="","",IFERROR(INDEX(Bestand!$AC$14:$AC$213,MATCH(A811,Bestand!$A$14:$A$213,0)),0))</f>
        <v/>
      </c>
      <c r="N811" s="69">
        <f>IF(OR(H811="",M811&lt;&gt;1),"",C811+ROW()/100000)</f>
        <v/>
      </c>
    </row>
    <row r="812" ht="20" customHeight="1">
      <c r="A812" s="60" t="n"/>
      <c r="B812" s="65">
        <f>IF(A812="","",IFERROR(INDEX(Bestand!$B$14:$B$213,MATCH(A812,Bestand!$A$14:$A$213,0)),"ID unbekannt"))</f>
        <v/>
      </c>
      <c r="C812" s="63" t="n"/>
      <c r="D812" s="62" t="n"/>
      <c r="E812" s="60" t="n"/>
      <c r="F812" s="60" t="n"/>
      <c r="G812" s="61" t="n"/>
      <c r="H812" s="69">
        <f>IF(OR(A812="",C812=""),"",COUNTIFS($A$7:$A$1006,A812,$C$7:$C$1006,"&lt;"&amp;C812)+1)</f>
        <v/>
      </c>
      <c r="I812" s="67">
        <f>IF(H812="","",IF(H812=1,"",C812-_xlfn.MAXIFS($C$7:$C$1006,$A$7:$A$1006,A812,$C$7:$C$1006,"&lt;"&amp;C812)))</f>
        <v/>
      </c>
      <c r="J812" s="68">
        <f>IF(I812="","",I812/TpM)</f>
        <v/>
      </c>
      <c r="K812" s="69">
        <f>IF(H812="","",COUNTIFS($A$7:$A$1006,A812,$C$7:$C$1006,"&gt;0")-H812)</f>
        <v/>
      </c>
      <c r="L812" s="69">
        <f>IF(H812="","",A812&amp;"|"&amp;H812)</f>
        <v/>
      </c>
      <c r="M812" s="69">
        <f>IF(A812="","",IFERROR(INDEX(Bestand!$AC$14:$AC$213,MATCH(A812,Bestand!$A$14:$A$213,0)),0))</f>
        <v/>
      </c>
      <c r="N812" s="69">
        <f>IF(OR(H812="",M812&lt;&gt;1),"",C812+ROW()/100000)</f>
        <v/>
      </c>
    </row>
    <row r="813" ht="20" customHeight="1">
      <c r="A813" s="60" t="n"/>
      <c r="B813" s="65">
        <f>IF(A813="","",IFERROR(INDEX(Bestand!$B$14:$B$213,MATCH(A813,Bestand!$A$14:$A$213,0)),"ID unbekannt"))</f>
        <v/>
      </c>
      <c r="C813" s="63" t="n"/>
      <c r="D813" s="62" t="n"/>
      <c r="E813" s="60" t="n"/>
      <c r="F813" s="60" t="n"/>
      <c r="G813" s="61" t="n"/>
      <c r="H813" s="69">
        <f>IF(OR(A813="",C813=""),"",COUNTIFS($A$7:$A$1006,A813,$C$7:$C$1006,"&lt;"&amp;C813)+1)</f>
        <v/>
      </c>
      <c r="I813" s="67">
        <f>IF(H813="","",IF(H813=1,"",C813-_xlfn.MAXIFS($C$7:$C$1006,$A$7:$A$1006,A813,$C$7:$C$1006,"&lt;"&amp;C813)))</f>
        <v/>
      </c>
      <c r="J813" s="68">
        <f>IF(I813="","",I813/TpM)</f>
        <v/>
      </c>
      <c r="K813" s="69">
        <f>IF(H813="","",COUNTIFS($A$7:$A$1006,A813,$C$7:$C$1006,"&gt;0")-H813)</f>
        <v/>
      </c>
      <c r="L813" s="69">
        <f>IF(H813="","",A813&amp;"|"&amp;H813)</f>
        <v/>
      </c>
      <c r="M813" s="69">
        <f>IF(A813="","",IFERROR(INDEX(Bestand!$AC$14:$AC$213,MATCH(A813,Bestand!$A$14:$A$213,0)),0))</f>
        <v/>
      </c>
      <c r="N813" s="69">
        <f>IF(OR(H813="",M813&lt;&gt;1),"",C813+ROW()/100000)</f>
        <v/>
      </c>
    </row>
    <row r="814" ht="20" customHeight="1">
      <c r="A814" s="60" t="n"/>
      <c r="B814" s="65">
        <f>IF(A814="","",IFERROR(INDEX(Bestand!$B$14:$B$213,MATCH(A814,Bestand!$A$14:$A$213,0)),"ID unbekannt"))</f>
        <v/>
      </c>
      <c r="C814" s="63" t="n"/>
      <c r="D814" s="62" t="n"/>
      <c r="E814" s="60" t="n"/>
      <c r="F814" s="60" t="n"/>
      <c r="G814" s="61" t="n"/>
      <c r="H814" s="69">
        <f>IF(OR(A814="",C814=""),"",COUNTIFS($A$7:$A$1006,A814,$C$7:$C$1006,"&lt;"&amp;C814)+1)</f>
        <v/>
      </c>
      <c r="I814" s="67">
        <f>IF(H814="","",IF(H814=1,"",C814-_xlfn.MAXIFS($C$7:$C$1006,$A$7:$A$1006,A814,$C$7:$C$1006,"&lt;"&amp;C814)))</f>
        <v/>
      </c>
      <c r="J814" s="68">
        <f>IF(I814="","",I814/TpM)</f>
        <v/>
      </c>
      <c r="K814" s="69">
        <f>IF(H814="","",COUNTIFS($A$7:$A$1006,A814,$C$7:$C$1006,"&gt;0")-H814)</f>
        <v/>
      </c>
      <c r="L814" s="69">
        <f>IF(H814="","",A814&amp;"|"&amp;H814)</f>
        <v/>
      </c>
      <c r="M814" s="69">
        <f>IF(A814="","",IFERROR(INDEX(Bestand!$AC$14:$AC$213,MATCH(A814,Bestand!$A$14:$A$213,0)),0))</f>
        <v/>
      </c>
      <c r="N814" s="69">
        <f>IF(OR(H814="",M814&lt;&gt;1),"",C814+ROW()/100000)</f>
        <v/>
      </c>
    </row>
    <row r="815" ht="20" customHeight="1">
      <c r="A815" s="60" t="n"/>
      <c r="B815" s="65">
        <f>IF(A815="","",IFERROR(INDEX(Bestand!$B$14:$B$213,MATCH(A815,Bestand!$A$14:$A$213,0)),"ID unbekannt"))</f>
        <v/>
      </c>
      <c r="C815" s="63" t="n"/>
      <c r="D815" s="62" t="n"/>
      <c r="E815" s="60" t="n"/>
      <c r="F815" s="60" t="n"/>
      <c r="G815" s="61" t="n"/>
      <c r="H815" s="69">
        <f>IF(OR(A815="",C815=""),"",COUNTIFS($A$7:$A$1006,A815,$C$7:$C$1006,"&lt;"&amp;C815)+1)</f>
        <v/>
      </c>
      <c r="I815" s="67">
        <f>IF(H815="","",IF(H815=1,"",C815-_xlfn.MAXIFS($C$7:$C$1006,$A$7:$A$1006,A815,$C$7:$C$1006,"&lt;"&amp;C815)))</f>
        <v/>
      </c>
      <c r="J815" s="68">
        <f>IF(I815="","",I815/TpM)</f>
        <v/>
      </c>
      <c r="K815" s="69">
        <f>IF(H815="","",COUNTIFS($A$7:$A$1006,A815,$C$7:$C$1006,"&gt;0")-H815)</f>
        <v/>
      </c>
      <c r="L815" s="69">
        <f>IF(H815="","",A815&amp;"|"&amp;H815)</f>
        <v/>
      </c>
      <c r="M815" s="69">
        <f>IF(A815="","",IFERROR(INDEX(Bestand!$AC$14:$AC$213,MATCH(A815,Bestand!$A$14:$A$213,0)),0))</f>
        <v/>
      </c>
      <c r="N815" s="69">
        <f>IF(OR(H815="",M815&lt;&gt;1),"",C815+ROW()/100000)</f>
        <v/>
      </c>
    </row>
    <row r="816" ht="20" customHeight="1">
      <c r="A816" s="60" t="n"/>
      <c r="B816" s="65">
        <f>IF(A816="","",IFERROR(INDEX(Bestand!$B$14:$B$213,MATCH(A816,Bestand!$A$14:$A$213,0)),"ID unbekannt"))</f>
        <v/>
      </c>
      <c r="C816" s="63" t="n"/>
      <c r="D816" s="62" t="n"/>
      <c r="E816" s="60" t="n"/>
      <c r="F816" s="60" t="n"/>
      <c r="G816" s="61" t="n"/>
      <c r="H816" s="69">
        <f>IF(OR(A816="",C816=""),"",COUNTIFS($A$7:$A$1006,A816,$C$7:$C$1006,"&lt;"&amp;C816)+1)</f>
        <v/>
      </c>
      <c r="I816" s="67">
        <f>IF(H816="","",IF(H816=1,"",C816-_xlfn.MAXIFS($C$7:$C$1006,$A$7:$A$1006,A816,$C$7:$C$1006,"&lt;"&amp;C816)))</f>
        <v/>
      </c>
      <c r="J816" s="68">
        <f>IF(I816="","",I816/TpM)</f>
        <v/>
      </c>
      <c r="K816" s="69">
        <f>IF(H816="","",COUNTIFS($A$7:$A$1006,A816,$C$7:$C$1006,"&gt;0")-H816)</f>
        <v/>
      </c>
      <c r="L816" s="69">
        <f>IF(H816="","",A816&amp;"|"&amp;H816)</f>
        <v/>
      </c>
      <c r="M816" s="69">
        <f>IF(A816="","",IFERROR(INDEX(Bestand!$AC$14:$AC$213,MATCH(A816,Bestand!$A$14:$A$213,0)),0))</f>
        <v/>
      </c>
      <c r="N816" s="69">
        <f>IF(OR(H816="",M816&lt;&gt;1),"",C816+ROW()/100000)</f>
        <v/>
      </c>
    </row>
    <row r="817" ht="20" customHeight="1">
      <c r="A817" s="60" t="n"/>
      <c r="B817" s="65">
        <f>IF(A817="","",IFERROR(INDEX(Bestand!$B$14:$B$213,MATCH(A817,Bestand!$A$14:$A$213,0)),"ID unbekannt"))</f>
        <v/>
      </c>
      <c r="C817" s="63" t="n"/>
      <c r="D817" s="62" t="n"/>
      <c r="E817" s="60" t="n"/>
      <c r="F817" s="60" t="n"/>
      <c r="G817" s="61" t="n"/>
      <c r="H817" s="69">
        <f>IF(OR(A817="",C817=""),"",COUNTIFS($A$7:$A$1006,A817,$C$7:$C$1006,"&lt;"&amp;C817)+1)</f>
        <v/>
      </c>
      <c r="I817" s="67">
        <f>IF(H817="","",IF(H817=1,"",C817-_xlfn.MAXIFS($C$7:$C$1006,$A$7:$A$1006,A817,$C$7:$C$1006,"&lt;"&amp;C817)))</f>
        <v/>
      </c>
      <c r="J817" s="68">
        <f>IF(I817="","",I817/TpM)</f>
        <v/>
      </c>
      <c r="K817" s="69">
        <f>IF(H817="","",COUNTIFS($A$7:$A$1006,A817,$C$7:$C$1006,"&gt;0")-H817)</f>
        <v/>
      </c>
      <c r="L817" s="69">
        <f>IF(H817="","",A817&amp;"|"&amp;H817)</f>
        <v/>
      </c>
      <c r="M817" s="69">
        <f>IF(A817="","",IFERROR(INDEX(Bestand!$AC$14:$AC$213,MATCH(A817,Bestand!$A$14:$A$213,0)),0))</f>
        <v/>
      </c>
      <c r="N817" s="69">
        <f>IF(OR(H817="",M817&lt;&gt;1),"",C817+ROW()/100000)</f>
        <v/>
      </c>
    </row>
    <row r="818" ht="20" customHeight="1">
      <c r="A818" s="60" t="n"/>
      <c r="B818" s="65">
        <f>IF(A818="","",IFERROR(INDEX(Bestand!$B$14:$B$213,MATCH(A818,Bestand!$A$14:$A$213,0)),"ID unbekannt"))</f>
        <v/>
      </c>
      <c r="C818" s="63" t="n"/>
      <c r="D818" s="62" t="n"/>
      <c r="E818" s="60" t="n"/>
      <c r="F818" s="60" t="n"/>
      <c r="G818" s="61" t="n"/>
      <c r="H818" s="69">
        <f>IF(OR(A818="",C818=""),"",COUNTIFS($A$7:$A$1006,A818,$C$7:$C$1006,"&lt;"&amp;C818)+1)</f>
        <v/>
      </c>
      <c r="I818" s="67">
        <f>IF(H818="","",IF(H818=1,"",C818-_xlfn.MAXIFS($C$7:$C$1006,$A$7:$A$1006,A818,$C$7:$C$1006,"&lt;"&amp;C818)))</f>
        <v/>
      </c>
      <c r="J818" s="68">
        <f>IF(I818="","",I818/TpM)</f>
        <v/>
      </c>
      <c r="K818" s="69">
        <f>IF(H818="","",COUNTIFS($A$7:$A$1006,A818,$C$7:$C$1006,"&gt;0")-H818)</f>
        <v/>
      </c>
      <c r="L818" s="69">
        <f>IF(H818="","",A818&amp;"|"&amp;H818)</f>
        <v/>
      </c>
      <c r="M818" s="69">
        <f>IF(A818="","",IFERROR(INDEX(Bestand!$AC$14:$AC$213,MATCH(A818,Bestand!$A$14:$A$213,0)),0))</f>
        <v/>
      </c>
      <c r="N818" s="69">
        <f>IF(OR(H818="",M818&lt;&gt;1),"",C818+ROW()/100000)</f>
        <v/>
      </c>
    </row>
    <row r="819" ht="20" customHeight="1">
      <c r="A819" s="60" t="n"/>
      <c r="B819" s="65">
        <f>IF(A819="","",IFERROR(INDEX(Bestand!$B$14:$B$213,MATCH(A819,Bestand!$A$14:$A$213,0)),"ID unbekannt"))</f>
        <v/>
      </c>
      <c r="C819" s="63" t="n"/>
      <c r="D819" s="62" t="n"/>
      <c r="E819" s="60" t="n"/>
      <c r="F819" s="60" t="n"/>
      <c r="G819" s="61" t="n"/>
      <c r="H819" s="69">
        <f>IF(OR(A819="",C819=""),"",COUNTIFS($A$7:$A$1006,A819,$C$7:$C$1006,"&lt;"&amp;C819)+1)</f>
        <v/>
      </c>
      <c r="I819" s="67">
        <f>IF(H819="","",IF(H819=1,"",C819-_xlfn.MAXIFS($C$7:$C$1006,$A$7:$A$1006,A819,$C$7:$C$1006,"&lt;"&amp;C819)))</f>
        <v/>
      </c>
      <c r="J819" s="68">
        <f>IF(I819="","",I819/TpM)</f>
        <v/>
      </c>
      <c r="K819" s="69">
        <f>IF(H819="","",COUNTIFS($A$7:$A$1006,A819,$C$7:$C$1006,"&gt;0")-H819)</f>
        <v/>
      </c>
      <c r="L819" s="69">
        <f>IF(H819="","",A819&amp;"|"&amp;H819)</f>
        <v/>
      </c>
      <c r="M819" s="69">
        <f>IF(A819="","",IFERROR(INDEX(Bestand!$AC$14:$AC$213,MATCH(A819,Bestand!$A$14:$A$213,0)),0))</f>
        <v/>
      </c>
      <c r="N819" s="69">
        <f>IF(OR(H819="",M819&lt;&gt;1),"",C819+ROW()/100000)</f>
        <v/>
      </c>
    </row>
    <row r="820" ht="20" customHeight="1">
      <c r="A820" s="60" t="n"/>
      <c r="B820" s="65">
        <f>IF(A820="","",IFERROR(INDEX(Bestand!$B$14:$B$213,MATCH(A820,Bestand!$A$14:$A$213,0)),"ID unbekannt"))</f>
        <v/>
      </c>
      <c r="C820" s="63" t="n"/>
      <c r="D820" s="62" t="n"/>
      <c r="E820" s="60" t="n"/>
      <c r="F820" s="60" t="n"/>
      <c r="G820" s="61" t="n"/>
      <c r="H820" s="69">
        <f>IF(OR(A820="",C820=""),"",COUNTIFS($A$7:$A$1006,A820,$C$7:$C$1006,"&lt;"&amp;C820)+1)</f>
        <v/>
      </c>
      <c r="I820" s="67">
        <f>IF(H820="","",IF(H820=1,"",C820-_xlfn.MAXIFS($C$7:$C$1006,$A$7:$A$1006,A820,$C$7:$C$1006,"&lt;"&amp;C820)))</f>
        <v/>
      </c>
      <c r="J820" s="68">
        <f>IF(I820="","",I820/TpM)</f>
        <v/>
      </c>
      <c r="K820" s="69">
        <f>IF(H820="","",COUNTIFS($A$7:$A$1006,A820,$C$7:$C$1006,"&gt;0")-H820)</f>
        <v/>
      </c>
      <c r="L820" s="69">
        <f>IF(H820="","",A820&amp;"|"&amp;H820)</f>
        <v/>
      </c>
      <c r="M820" s="69">
        <f>IF(A820="","",IFERROR(INDEX(Bestand!$AC$14:$AC$213,MATCH(A820,Bestand!$A$14:$A$213,0)),0))</f>
        <v/>
      </c>
      <c r="N820" s="69">
        <f>IF(OR(H820="",M820&lt;&gt;1),"",C820+ROW()/100000)</f>
        <v/>
      </c>
    </row>
    <row r="821" ht="20" customHeight="1">
      <c r="A821" s="60" t="n"/>
      <c r="B821" s="65">
        <f>IF(A821="","",IFERROR(INDEX(Bestand!$B$14:$B$213,MATCH(A821,Bestand!$A$14:$A$213,0)),"ID unbekannt"))</f>
        <v/>
      </c>
      <c r="C821" s="63" t="n"/>
      <c r="D821" s="62" t="n"/>
      <c r="E821" s="60" t="n"/>
      <c r="F821" s="60" t="n"/>
      <c r="G821" s="61" t="n"/>
      <c r="H821" s="69">
        <f>IF(OR(A821="",C821=""),"",COUNTIFS($A$7:$A$1006,A821,$C$7:$C$1006,"&lt;"&amp;C821)+1)</f>
        <v/>
      </c>
      <c r="I821" s="67">
        <f>IF(H821="","",IF(H821=1,"",C821-_xlfn.MAXIFS($C$7:$C$1006,$A$7:$A$1006,A821,$C$7:$C$1006,"&lt;"&amp;C821)))</f>
        <v/>
      </c>
      <c r="J821" s="68">
        <f>IF(I821="","",I821/TpM)</f>
        <v/>
      </c>
      <c r="K821" s="69">
        <f>IF(H821="","",COUNTIFS($A$7:$A$1006,A821,$C$7:$C$1006,"&gt;0")-H821)</f>
        <v/>
      </c>
      <c r="L821" s="69">
        <f>IF(H821="","",A821&amp;"|"&amp;H821)</f>
        <v/>
      </c>
      <c r="M821" s="69">
        <f>IF(A821="","",IFERROR(INDEX(Bestand!$AC$14:$AC$213,MATCH(A821,Bestand!$A$14:$A$213,0)),0))</f>
        <v/>
      </c>
      <c r="N821" s="69">
        <f>IF(OR(H821="",M821&lt;&gt;1),"",C821+ROW()/100000)</f>
        <v/>
      </c>
    </row>
    <row r="822" ht="20" customHeight="1">
      <c r="A822" s="60" t="n"/>
      <c r="B822" s="65">
        <f>IF(A822="","",IFERROR(INDEX(Bestand!$B$14:$B$213,MATCH(A822,Bestand!$A$14:$A$213,0)),"ID unbekannt"))</f>
        <v/>
      </c>
      <c r="C822" s="63" t="n"/>
      <c r="D822" s="62" t="n"/>
      <c r="E822" s="60" t="n"/>
      <c r="F822" s="60" t="n"/>
      <c r="G822" s="61" t="n"/>
      <c r="H822" s="69">
        <f>IF(OR(A822="",C822=""),"",COUNTIFS($A$7:$A$1006,A822,$C$7:$C$1006,"&lt;"&amp;C822)+1)</f>
        <v/>
      </c>
      <c r="I822" s="67">
        <f>IF(H822="","",IF(H822=1,"",C822-_xlfn.MAXIFS($C$7:$C$1006,$A$7:$A$1006,A822,$C$7:$C$1006,"&lt;"&amp;C822)))</f>
        <v/>
      </c>
      <c r="J822" s="68">
        <f>IF(I822="","",I822/TpM)</f>
        <v/>
      </c>
      <c r="K822" s="69">
        <f>IF(H822="","",COUNTIFS($A$7:$A$1006,A822,$C$7:$C$1006,"&gt;0")-H822)</f>
        <v/>
      </c>
      <c r="L822" s="69">
        <f>IF(H822="","",A822&amp;"|"&amp;H822)</f>
        <v/>
      </c>
      <c r="M822" s="69">
        <f>IF(A822="","",IFERROR(INDEX(Bestand!$AC$14:$AC$213,MATCH(A822,Bestand!$A$14:$A$213,0)),0))</f>
        <v/>
      </c>
      <c r="N822" s="69">
        <f>IF(OR(H822="",M822&lt;&gt;1),"",C822+ROW()/100000)</f>
        <v/>
      </c>
    </row>
    <row r="823" ht="20" customHeight="1">
      <c r="A823" s="60" t="n"/>
      <c r="B823" s="65">
        <f>IF(A823="","",IFERROR(INDEX(Bestand!$B$14:$B$213,MATCH(A823,Bestand!$A$14:$A$213,0)),"ID unbekannt"))</f>
        <v/>
      </c>
      <c r="C823" s="63" t="n"/>
      <c r="D823" s="62" t="n"/>
      <c r="E823" s="60" t="n"/>
      <c r="F823" s="60" t="n"/>
      <c r="G823" s="61" t="n"/>
      <c r="H823" s="69">
        <f>IF(OR(A823="",C823=""),"",COUNTIFS($A$7:$A$1006,A823,$C$7:$C$1006,"&lt;"&amp;C823)+1)</f>
        <v/>
      </c>
      <c r="I823" s="67">
        <f>IF(H823="","",IF(H823=1,"",C823-_xlfn.MAXIFS($C$7:$C$1006,$A$7:$A$1006,A823,$C$7:$C$1006,"&lt;"&amp;C823)))</f>
        <v/>
      </c>
      <c r="J823" s="68">
        <f>IF(I823="","",I823/TpM)</f>
        <v/>
      </c>
      <c r="K823" s="69">
        <f>IF(H823="","",COUNTIFS($A$7:$A$1006,A823,$C$7:$C$1006,"&gt;0")-H823)</f>
        <v/>
      </c>
      <c r="L823" s="69">
        <f>IF(H823="","",A823&amp;"|"&amp;H823)</f>
        <v/>
      </c>
      <c r="M823" s="69">
        <f>IF(A823="","",IFERROR(INDEX(Bestand!$AC$14:$AC$213,MATCH(A823,Bestand!$A$14:$A$213,0)),0))</f>
        <v/>
      </c>
      <c r="N823" s="69">
        <f>IF(OR(H823="",M823&lt;&gt;1),"",C823+ROW()/100000)</f>
        <v/>
      </c>
    </row>
    <row r="824" ht="20" customHeight="1">
      <c r="A824" s="60" t="n"/>
      <c r="B824" s="65">
        <f>IF(A824="","",IFERROR(INDEX(Bestand!$B$14:$B$213,MATCH(A824,Bestand!$A$14:$A$213,0)),"ID unbekannt"))</f>
        <v/>
      </c>
      <c r="C824" s="63" t="n"/>
      <c r="D824" s="62" t="n"/>
      <c r="E824" s="60" t="n"/>
      <c r="F824" s="60" t="n"/>
      <c r="G824" s="61" t="n"/>
      <c r="H824" s="69">
        <f>IF(OR(A824="",C824=""),"",COUNTIFS($A$7:$A$1006,A824,$C$7:$C$1006,"&lt;"&amp;C824)+1)</f>
        <v/>
      </c>
      <c r="I824" s="67">
        <f>IF(H824="","",IF(H824=1,"",C824-_xlfn.MAXIFS($C$7:$C$1006,$A$7:$A$1006,A824,$C$7:$C$1006,"&lt;"&amp;C824)))</f>
        <v/>
      </c>
      <c r="J824" s="68">
        <f>IF(I824="","",I824/TpM)</f>
        <v/>
      </c>
      <c r="K824" s="69">
        <f>IF(H824="","",COUNTIFS($A$7:$A$1006,A824,$C$7:$C$1006,"&gt;0")-H824)</f>
        <v/>
      </c>
      <c r="L824" s="69">
        <f>IF(H824="","",A824&amp;"|"&amp;H824)</f>
        <v/>
      </c>
      <c r="M824" s="69">
        <f>IF(A824="","",IFERROR(INDEX(Bestand!$AC$14:$AC$213,MATCH(A824,Bestand!$A$14:$A$213,0)),0))</f>
        <v/>
      </c>
      <c r="N824" s="69">
        <f>IF(OR(H824="",M824&lt;&gt;1),"",C824+ROW()/100000)</f>
        <v/>
      </c>
    </row>
    <row r="825" ht="20" customHeight="1">
      <c r="A825" s="60" t="n"/>
      <c r="B825" s="65">
        <f>IF(A825="","",IFERROR(INDEX(Bestand!$B$14:$B$213,MATCH(A825,Bestand!$A$14:$A$213,0)),"ID unbekannt"))</f>
        <v/>
      </c>
      <c r="C825" s="63" t="n"/>
      <c r="D825" s="62" t="n"/>
      <c r="E825" s="60" t="n"/>
      <c r="F825" s="60" t="n"/>
      <c r="G825" s="61" t="n"/>
      <c r="H825" s="69">
        <f>IF(OR(A825="",C825=""),"",COUNTIFS($A$7:$A$1006,A825,$C$7:$C$1006,"&lt;"&amp;C825)+1)</f>
        <v/>
      </c>
      <c r="I825" s="67">
        <f>IF(H825="","",IF(H825=1,"",C825-_xlfn.MAXIFS($C$7:$C$1006,$A$7:$A$1006,A825,$C$7:$C$1006,"&lt;"&amp;C825)))</f>
        <v/>
      </c>
      <c r="J825" s="68">
        <f>IF(I825="","",I825/TpM)</f>
        <v/>
      </c>
      <c r="K825" s="69">
        <f>IF(H825="","",COUNTIFS($A$7:$A$1006,A825,$C$7:$C$1006,"&gt;0")-H825)</f>
        <v/>
      </c>
      <c r="L825" s="69">
        <f>IF(H825="","",A825&amp;"|"&amp;H825)</f>
        <v/>
      </c>
      <c r="M825" s="69">
        <f>IF(A825="","",IFERROR(INDEX(Bestand!$AC$14:$AC$213,MATCH(A825,Bestand!$A$14:$A$213,0)),0))</f>
        <v/>
      </c>
      <c r="N825" s="69">
        <f>IF(OR(H825="",M825&lt;&gt;1),"",C825+ROW()/100000)</f>
        <v/>
      </c>
    </row>
    <row r="826" ht="20" customHeight="1">
      <c r="A826" s="60" t="n"/>
      <c r="B826" s="65">
        <f>IF(A826="","",IFERROR(INDEX(Bestand!$B$14:$B$213,MATCH(A826,Bestand!$A$14:$A$213,0)),"ID unbekannt"))</f>
        <v/>
      </c>
      <c r="C826" s="63" t="n"/>
      <c r="D826" s="62" t="n"/>
      <c r="E826" s="60" t="n"/>
      <c r="F826" s="60" t="n"/>
      <c r="G826" s="61" t="n"/>
      <c r="H826" s="69">
        <f>IF(OR(A826="",C826=""),"",COUNTIFS($A$7:$A$1006,A826,$C$7:$C$1006,"&lt;"&amp;C826)+1)</f>
        <v/>
      </c>
      <c r="I826" s="67">
        <f>IF(H826="","",IF(H826=1,"",C826-_xlfn.MAXIFS($C$7:$C$1006,$A$7:$A$1006,A826,$C$7:$C$1006,"&lt;"&amp;C826)))</f>
        <v/>
      </c>
      <c r="J826" s="68">
        <f>IF(I826="","",I826/TpM)</f>
        <v/>
      </c>
      <c r="K826" s="69">
        <f>IF(H826="","",COUNTIFS($A$7:$A$1006,A826,$C$7:$C$1006,"&gt;0")-H826)</f>
        <v/>
      </c>
      <c r="L826" s="69">
        <f>IF(H826="","",A826&amp;"|"&amp;H826)</f>
        <v/>
      </c>
      <c r="M826" s="69">
        <f>IF(A826="","",IFERROR(INDEX(Bestand!$AC$14:$AC$213,MATCH(A826,Bestand!$A$14:$A$213,0)),0))</f>
        <v/>
      </c>
      <c r="N826" s="69">
        <f>IF(OR(H826="",M826&lt;&gt;1),"",C826+ROW()/100000)</f>
        <v/>
      </c>
    </row>
    <row r="827" ht="20" customHeight="1">
      <c r="A827" s="60" t="n"/>
      <c r="B827" s="65">
        <f>IF(A827="","",IFERROR(INDEX(Bestand!$B$14:$B$213,MATCH(A827,Bestand!$A$14:$A$213,0)),"ID unbekannt"))</f>
        <v/>
      </c>
      <c r="C827" s="63" t="n"/>
      <c r="D827" s="62" t="n"/>
      <c r="E827" s="60" t="n"/>
      <c r="F827" s="60" t="n"/>
      <c r="G827" s="61" t="n"/>
      <c r="H827" s="69">
        <f>IF(OR(A827="",C827=""),"",COUNTIFS($A$7:$A$1006,A827,$C$7:$C$1006,"&lt;"&amp;C827)+1)</f>
        <v/>
      </c>
      <c r="I827" s="67">
        <f>IF(H827="","",IF(H827=1,"",C827-_xlfn.MAXIFS($C$7:$C$1006,$A$7:$A$1006,A827,$C$7:$C$1006,"&lt;"&amp;C827)))</f>
        <v/>
      </c>
      <c r="J827" s="68">
        <f>IF(I827="","",I827/TpM)</f>
        <v/>
      </c>
      <c r="K827" s="69">
        <f>IF(H827="","",COUNTIFS($A$7:$A$1006,A827,$C$7:$C$1006,"&gt;0")-H827)</f>
        <v/>
      </c>
      <c r="L827" s="69">
        <f>IF(H827="","",A827&amp;"|"&amp;H827)</f>
        <v/>
      </c>
      <c r="M827" s="69">
        <f>IF(A827="","",IFERROR(INDEX(Bestand!$AC$14:$AC$213,MATCH(A827,Bestand!$A$14:$A$213,0)),0))</f>
        <v/>
      </c>
      <c r="N827" s="69">
        <f>IF(OR(H827="",M827&lt;&gt;1),"",C827+ROW()/100000)</f>
        <v/>
      </c>
    </row>
    <row r="828" ht="20" customHeight="1">
      <c r="A828" s="60" t="n"/>
      <c r="B828" s="65">
        <f>IF(A828="","",IFERROR(INDEX(Bestand!$B$14:$B$213,MATCH(A828,Bestand!$A$14:$A$213,0)),"ID unbekannt"))</f>
        <v/>
      </c>
      <c r="C828" s="63" t="n"/>
      <c r="D828" s="62" t="n"/>
      <c r="E828" s="60" t="n"/>
      <c r="F828" s="60" t="n"/>
      <c r="G828" s="61" t="n"/>
      <c r="H828" s="69">
        <f>IF(OR(A828="",C828=""),"",COUNTIFS($A$7:$A$1006,A828,$C$7:$C$1006,"&lt;"&amp;C828)+1)</f>
        <v/>
      </c>
      <c r="I828" s="67">
        <f>IF(H828="","",IF(H828=1,"",C828-_xlfn.MAXIFS($C$7:$C$1006,$A$7:$A$1006,A828,$C$7:$C$1006,"&lt;"&amp;C828)))</f>
        <v/>
      </c>
      <c r="J828" s="68">
        <f>IF(I828="","",I828/TpM)</f>
        <v/>
      </c>
      <c r="K828" s="69">
        <f>IF(H828="","",COUNTIFS($A$7:$A$1006,A828,$C$7:$C$1006,"&gt;0")-H828)</f>
        <v/>
      </c>
      <c r="L828" s="69">
        <f>IF(H828="","",A828&amp;"|"&amp;H828)</f>
        <v/>
      </c>
      <c r="M828" s="69">
        <f>IF(A828="","",IFERROR(INDEX(Bestand!$AC$14:$AC$213,MATCH(A828,Bestand!$A$14:$A$213,0)),0))</f>
        <v/>
      </c>
      <c r="N828" s="69">
        <f>IF(OR(H828="",M828&lt;&gt;1),"",C828+ROW()/100000)</f>
        <v/>
      </c>
    </row>
    <row r="829" ht="20" customHeight="1">
      <c r="A829" s="60" t="n"/>
      <c r="B829" s="65">
        <f>IF(A829="","",IFERROR(INDEX(Bestand!$B$14:$B$213,MATCH(A829,Bestand!$A$14:$A$213,0)),"ID unbekannt"))</f>
        <v/>
      </c>
      <c r="C829" s="63" t="n"/>
      <c r="D829" s="62" t="n"/>
      <c r="E829" s="60" t="n"/>
      <c r="F829" s="60" t="n"/>
      <c r="G829" s="61" t="n"/>
      <c r="H829" s="69">
        <f>IF(OR(A829="",C829=""),"",COUNTIFS($A$7:$A$1006,A829,$C$7:$C$1006,"&lt;"&amp;C829)+1)</f>
        <v/>
      </c>
      <c r="I829" s="67">
        <f>IF(H829="","",IF(H829=1,"",C829-_xlfn.MAXIFS($C$7:$C$1006,$A$7:$A$1006,A829,$C$7:$C$1006,"&lt;"&amp;C829)))</f>
        <v/>
      </c>
      <c r="J829" s="68">
        <f>IF(I829="","",I829/TpM)</f>
        <v/>
      </c>
      <c r="K829" s="69">
        <f>IF(H829="","",COUNTIFS($A$7:$A$1006,A829,$C$7:$C$1006,"&gt;0")-H829)</f>
        <v/>
      </c>
      <c r="L829" s="69">
        <f>IF(H829="","",A829&amp;"|"&amp;H829)</f>
        <v/>
      </c>
      <c r="M829" s="69">
        <f>IF(A829="","",IFERROR(INDEX(Bestand!$AC$14:$AC$213,MATCH(A829,Bestand!$A$14:$A$213,0)),0))</f>
        <v/>
      </c>
      <c r="N829" s="69">
        <f>IF(OR(H829="",M829&lt;&gt;1),"",C829+ROW()/100000)</f>
        <v/>
      </c>
    </row>
    <row r="830" ht="20" customHeight="1">
      <c r="A830" s="60" t="n"/>
      <c r="B830" s="65">
        <f>IF(A830="","",IFERROR(INDEX(Bestand!$B$14:$B$213,MATCH(A830,Bestand!$A$14:$A$213,0)),"ID unbekannt"))</f>
        <v/>
      </c>
      <c r="C830" s="63" t="n"/>
      <c r="D830" s="62" t="n"/>
      <c r="E830" s="60" t="n"/>
      <c r="F830" s="60" t="n"/>
      <c r="G830" s="61" t="n"/>
      <c r="H830" s="69">
        <f>IF(OR(A830="",C830=""),"",COUNTIFS($A$7:$A$1006,A830,$C$7:$C$1006,"&lt;"&amp;C830)+1)</f>
        <v/>
      </c>
      <c r="I830" s="67">
        <f>IF(H830="","",IF(H830=1,"",C830-_xlfn.MAXIFS($C$7:$C$1006,$A$7:$A$1006,A830,$C$7:$C$1006,"&lt;"&amp;C830)))</f>
        <v/>
      </c>
      <c r="J830" s="68">
        <f>IF(I830="","",I830/TpM)</f>
        <v/>
      </c>
      <c r="K830" s="69">
        <f>IF(H830="","",COUNTIFS($A$7:$A$1006,A830,$C$7:$C$1006,"&gt;0")-H830)</f>
        <v/>
      </c>
      <c r="L830" s="69">
        <f>IF(H830="","",A830&amp;"|"&amp;H830)</f>
        <v/>
      </c>
      <c r="M830" s="69">
        <f>IF(A830="","",IFERROR(INDEX(Bestand!$AC$14:$AC$213,MATCH(A830,Bestand!$A$14:$A$213,0)),0))</f>
        <v/>
      </c>
      <c r="N830" s="69">
        <f>IF(OR(H830="",M830&lt;&gt;1),"",C830+ROW()/100000)</f>
        <v/>
      </c>
    </row>
    <row r="831" ht="20" customHeight="1">
      <c r="A831" s="60" t="n"/>
      <c r="B831" s="65">
        <f>IF(A831="","",IFERROR(INDEX(Bestand!$B$14:$B$213,MATCH(A831,Bestand!$A$14:$A$213,0)),"ID unbekannt"))</f>
        <v/>
      </c>
      <c r="C831" s="63" t="n"/>
      <c r="D831" s="62" t="n"/>
      <c r="E831" s="60" t="n"/>
      <c r="F831" s="60" t="n"/>
      <c r="G831" s="61" t="n"/>
      <c r="H831" s="69">
        <f>IF(OR(A831="",C831=""),"",COUNTIFS($A$7:$A$1006,A831,$C$7:$C$1006,"&lt;"&amp;C831)+1)</f>
        <v/>
      </c>
      <c r="I831" s="67">
        <f>IF(H831="","",IF(H831=1,"",C831-_xlfn.MAXIFS($C$7:$C$1006,$A$7:$A$1006,A831,$C$7:$C$1006,"&lt;"&amp;C831)))</f>
        <v/>
      </c>
      <c r="J831" s="68">
        <f>IF(I831="","",I831/TpM)</f>
        <v/>
      </c>
      <c r="K831" s="69">
        <f>IF(H831="","",COUNTIFS($A$7:$A$1006,A831,$C$7:$C$1006,"&gt;0")-H831)</f>
        <v/>
      </c>
      <c r="L831" s="69">
        <f>IF(H831="","",A831&amp;"|"&amp;H831)</f>
        <v/>
      </c>
      <c r="M831" s="69">
        <f>IF(A831="","",IFERROR(INDEX(Bestand!$AC$14:$AC$213,MATCH(A831,Bestand!$A$14:$A$213,0)),0))</f>
        <v/>
      </c>
      <c r="N831" s="69">
        <f>IF(OR(H831="",M831&lt;&gt;1),"",C831+ROW()/100000)</f>
        <v/>
      </c>
    </row>
    <row r="832" ht="20" customHeight="1">
      <c r="A832" s="60" t="n"/>
      <c r="B832" s="65">
        <f>IF(A832="","",IFERROR(INDEX(Bestand!$B$14:$B$213,MATCH(A832,Bestand!$A$14:$A$213,0)),"ID unbekannt"))</f>
        <v/>
      </c>
      <c r="C832" s="63" t="n"/>
      <c r="D832" s="62" t="n"/>
      <c r="E832" s="60" t="n"/>
      <c r="F832" s="60" t="n"/>
      <c r="G832" s="61" t="n"/>
      <c r="H832" s="69">
        <f>IF(OR(A832="",C832=""),"",COUNTIFS($A$7:$A$1006,A832,$C$7:$C$1006,"&lt;"&amp;C832)+1)</f>
        <v/>
      </c>
      <c r="I832" s="67">
        <f>IF(H832="","",IF(H832=1,"",C832-_xlfn.MAXIFS($C$7:$C$1006,$A$7:$A$1006,A832,$C$7:$C$1006,"&lt;"&amp;C832)))</f>
        <v/>
      </c>
      <c r="J832" s="68">
        <f>IF(I832="","",I832/TpM)</f>
        <v/>
      </c>
      <c r="K832" s="69">
        <f>IF(H832="","",COUNTIFS($A$7:$A$1006,A832,$C$7:$C$1006,"&gt;0")-H832)</f>
        <v/>
      </c>
      <c r="L832" s="69">
        <f>IF(H832="","",A832&amp;"|"&amp;H832)</f>
        <v/>
      </c>
      <c r="M832" s="69">
        <f>IF(A832="","",IFERROR(INDEX(Bestand!$AC$14:$AC$213,MATCH(A832,Bestand!$A$14:$A$213,0)),0))</f>
        <v/>
      </c>
      <c r="N832" s="69">
        <f>IF(OR(H832="",M832&lt;&gt;1),"",C832+ROW()/100000)</f>
        <v/>
      </c>
    </row>
    <row r="833" ht="20" customHeight="1">
      <c r="A833" s="60" t="n"/>
      <c r="B833" s="65">
        <f>IF(A833="","",IFERROR(INDEX(Bestand!$B$14:$B$213,MATCH(A833,Bestand!$A$14:$A$213,0)),"ID unbekannt"))</f>
        <v/>
      </c>
      <c r="C833" s="63" t="n"/>
      <c r="D833" s="62" t="n"/>
      <c r="E833" s="60" t="n"/>
      <c r="F833" s="60" t="n"/>
      <c r="G833" s="61" t="n"/>
      <c r="H833" s="69">
        <f>IF(OR(A833="",C833=""),"",COUNTIFS($A$7:$A$1006,A833,$C$7:$C$1006,"&lt;"&amp;C833)+1)</f>
        <v/>
      </c>
      <c r="I833" s="67">
        <f>IF(H833="","",IF(H833=1,"",C833-_xlfn.MAXIFS($C$7:$C$1006,$A$7:$A$1006,A833,$C$7:$C$1006,"&lt;"&amp;C833)))</f>
        <v/>
      </c>
      <c r="J833" s="68">
        <f>IF(I833="","",I833/TpM)</f>
        <v/>
      </c>
      <c r="K833" s="69">
        <f>IF(H833="","",COUNTIFS($A$7:$A$1006,A833,$C$7:$C$1006,"&gt;0")-H833)</f>
        <v/>
      </c>
      <c r="L833" s="69">
        <f>IF(H833="","",A833&amp;"|"&amp;H833)</f>
        <v/>
      </c>
      <c r="M833" s="69">
        <f>IF(A833="","",IFERROR(INDEX(Bestand!$AC$14:$AC$213,MATCH(A833,Bestand!$A$14:$A$213,0)),0))</f>
        <v/>
      </c>
      <c r="N833" s="69">
        <f>IF(OR(H833="",M833&lt;&gt;1),"",C833+ROW()/100000)</f>
        <v/>
      </c>
    </row>
    <row r="834" ht="20" customHeight="1">
      <c r="A834" s="60" t="n"/>
      <c r="B834" s="65">
        <f>IF(A834="","",IFERROR(INDEX(Bestand!$B$14:$B$213,MATCH(A834,Bestand!$A$14:$A$213,0)),"ID unbekannt"))</f>
        <v/>
      </c>
      <c r="C834" s="63" t="n"/>
      <c r="D834" s="62" t="n"/>
      <c r="E834" s="60" t="n"/>
      <c r="F834" s="60" t="n"/>
      <c r="G834" s="61" t="n"/>
      <c r="H834" s="69">
        <f>IF(OR(A834="",C834=""),"",COUNTIFS($A$7:$A$1006,A834,$C$7:$C$1006,"&lt;"&amp;C834)+1)</f>
        <v/>
      </c>
      <c r="I834" s="67">
        <f>IF(H834="","",IF(H834=1,"",C834-_xlfn.MAXIFS($C$7:$C$1006,$A$7:$A$1006,A834,$C$7:$C$1006,"&lt;"&amp;C834)))</f>
        <v/>
      </c>
      <c r="J834" s="68">
        <f>IF(I834="","",I834/TpM)</f>
        <v/>
      </c>
      <c r="K834" s="69">
        <f>IF(H834="","",COUNTIFS($A$7:$A$1006,A834,$C$7:$C$1006,"&gt;0")-H834)</f>
        <v/>
      </c>
      <c r="L834" s="69">
        <f>IF(H834="","",A834&amp;"|"&amp;H834)</f>
        <v/>
      </c>
      <c r="M834" s="69">
        <f>IF(A834="","",IFERROR(INDEX(Bestand!$AC$14:$AC$213,MATCH(A834,Bestand!$A$14:$A$213,0)),0))</f>
        <v/>
      </c>
      <c r="N834" s="69">
        <f>IF(OR(H834="",M834&lt;&gt;1),"",C834+ROW()/100000)</f>
        <v/>
      </c>
    </row>
    <row r="835" ht="20" customHeight="1">
      <c r="A835" s="60" t="n"/>
      <c r="B835" s="65">
        <f>IF(A835="","",IFERROR(INDEX(Bestand!$B$14:$B$213,MATCH(A835,Bestand!$A$14:$A$213,0)),"ID unbekannt"))</f>
        <v/>
      </c>
      <c r="C835" s="63" t="n"/>
      <c r="D835" s="62" t="n"/>
      <c r="E835" s="60" t="n"/>
      <c r="F835" s="60" t="n"/>
      <c r="G835" s="61" t="n"/>
      <c r="H835" s="69">
        <f>IF(OR(A835="",C835=""),"",COUNTIFS($A$7:$A$1006,A835,$C$7:$C$1006,"&lt;"&amp;C835)+1)</f>
        <v/>
      </c>
      <c r="I835" s="67">
        <f>IF(H835="","",IF(H835=1,"",C835-_xlfn.MAXIFS($C$7:$C$1006,$A$7:$A$1006,A835,$C$7:$C$1006,"&lt;"&amp;C835)))</f>
        <v/>
      </c>
      <c r="J835" s="68">
        <f>IF(I835="","",I835/TpM)</f>
        <v/>
      </c>
      <c r="K835" s="69">
        <f>IF(H835="","",COUNTIFS($A$7:$A$1006,A835,$C$7:$C$1006,"&gt;0")-H835)</f>
        <v/>
      </c>
      <c r="L835" s="69">
        <f>IF(H835="","",A835&amp;"|"&amp;H835)</f>
        <v/>
      </c>
      <c r="M835" s="69">
        <f>IF(A835="","",IFERROR(INDEX(Bestand!$AC$14:$AC$213,MATCH(A835,Bestand!$A$14:$A$213,0)),0))</f>
        <v/>
      </c>
      <c r="N835" s="69">
        <f>IF(OR(H835="",M835&lt;&gt;1),"",C835+ROW()/100000)</f>
        <v/>
      </c>
    </row>
    <row r="836" ht="20" customHeight="1">
      <c r="A836" s="60" t="n"/>
      <c r="B836" s="65">
        <f>IF(A836="","",IFERROR(INDEX(Bestand!$B$14:$B$213,MATCH(A836,Bestand!$A$14:$A$213,0)),"ID unbekannt"))</f>
        <v/>
      </c>
      <c r="C836" s="63" t="n"/>
      <c r="D836" s="62" t="n"/>
      <c r="E836" s="60" t="n"/>
      <c r="F836" s="60" t="n"/>
      <c r="G836" s="61" t="n"/>
      <c r="H836" s="69">
        <f>IF(OR(A836="",C836=""),"",COUNTIFS($A$7:$A$1006,A836,$C$7:$C$1006,"&lt;"&amp;C836)+1)</f>
        <v/>
      </c>
      <c r="I836" s="67">
        <f>IF(H836="","",IF(H836=1,"",C836-_xlfn.MAXIFS($C$7:$C$1006,$A$7:$A$1006,A836,$C$7:$C$1006,"&lt;"&amp;C836)))</f>
        <v/>
      </c>
      <c r="J836" s="68">
        <f>IF(I836="","",I836/TpM)</f>
        <v/>
      </c>
      <c r="K836" s="69">
        <f>IF(H836="","",COUNTIFS($A$7:$A$1006,A836,$C$7:$C$1006,"&gt;0")-H836)</f>
        <v/>
      </c>
      <c r="L836" s="69">
        <f>IF(H836="","",A836&amp;"|"&amp;H836)</f>
        <v/>
      </c>
      <c r="M836" s="69">
        <f>IF(A836="","",IFERROR(INDEX(Bestand!$AC$14:$AC$213,MATCH(A836,Bestand!$A$14:$A$213,0)),0))</f>
        <v/>
      </c>
      <c r="N836" s="69">
        <f>IF(OR(H836="",M836&lt;&gt;1),"",C836+ROW()/100000)</f>
        <v/>
      </c>
    </row>
    <row r="837" ht="20" customHeight="1">
      <c r="A837" s="60" t="n"/>
      <c r="B837" s="65">
        <f>IF(A837="","",IFERROR(INDEX(Bestand!$B$14:$B$213,MATCH(A837,Bestand!$A$14:$A$213,0)),"ID unbekannt"))</f>
        <v/>
      </c>
      <c r="C837" s="63" t="n"/>
      <c r="D837" s="62" t="n"/>
      <c r="E837" s="60" t="n"/>
      <c r="F837" s="60" t="n"/>
      <c r="G837" s="61" t="n"/>
      <c r="H837" s="69">
        <f>IF(OR(A837="",C837=""),"",COUNTIFS($A$7:$A$1006,A837,$C$7:$C$1006,"&lt;"&amp;C837)+1)</f>
        <v/>
      </c>
      <c r="I837" s="67">
        <f>IF(H837="","",IF(H837=1,"",C837-_xlfn.MAXIFS($C$7:$C$1006,$A$7:$A$1006,A837,$C$7:$C$1006,"&lt;"&amp;C837)))</f>
        <v/>
      </c>
      <c r="J837" s="68">
        <f>IF(I837="","",I837/TpM)</f>
        <v/>
      </c>
      <c r="K837" s="69">
        <f>IF(H837="","",COUNTIFS($A$7:$A$1006,A837,$C$7:$C$1006,"&gt;0")-H837)</f>
        <v/>
      </c>
      <c r="L837" s="69">
        <f>IF(H837="","",A837&amp;"|"&amp;H837)</f>
        <v/>
      </c>
      <c r="M837" s="69">
        <f>IF(A837="","",IFERROR(INDEX(Bestand!$AC$14:$AC$213,MATCH(A837,Bestand!$A$14:$A$213,0)),0))</f>
        <v/>
      </c>
      <c r="N837" s="69">
        <f>IF(OR(H837="",M837&lt;&gt;1),"",C837+ROW()/100000)</f>
        <v/>
      </c>
    </row>
    <row r="838" ht="20" customHeight="1">
      <c r="A838" s="60" t="n"/>
      <c r="B838" s="65">
        <f>IF(A838="","",IFERROR(INDEX(Bestand!$B$14:$B$213,MATCH(A838,Bestand!$A$14:$A$213,0)),"ID unbekannt"))</f>
        <v/>
      </c>
      <c r="C838" s="63" t="n"/>
      <c r="D838" s="62" t="n"/>
      <c r="E838" s="60" t="n"/>
      <c r="F838" s="60" t="n"/>
      <c r="G838" s="61" t="n"/>
      <c r="H838" s="69">
        <f>IF(OR(A838="",C838=""),"",COUNTIFS($A$7:$A$1006,A838,$C$7:$C$1006,"&lt;"&amp;C838)+1)</f>
        <v/>
      </c>
      <c r="I838" s="67">
        <f>IF(H838="","",IF(H838=1,"",C838-_xlfn.MAXIFS($C$7:$C$1006,$A$7:$A$1006,A838,$C$7:$C$1006,"&lt;"&amp;C838)))</f>
        <v/>
      </c>
      <c r="J838" s="68">
        <f>IF(I838="","",I838/TpM)</f>
        <v/>
      </c>
      <c r="K838" s="69">
        <f>IF(H838="","",COUNTIFS($A$7:$A$1006,A838,$C$7:$C$1006,"&gt;0")-H838)</f>
        <v/>
      </c>
      <c r="L838" s="69">
        <f>IF(H838="","",A838&amp;"|"&amp;H838)</f>
        <v/>
      </c>
      <c r="M838" s="69">
        <f>IF(A838="","",IFERROR(INDEX(Bestand!$AC$14:$AC$213,MATCH(A838,Bestand!$A$14:$A$213,0)),0))</f>
        <v/>
      </c>
      <c r="N838" s="69">
        <f>IF(OR(H838="",M838&lt;&gt;1),"",C838+ROW()/100000)</f>
        <v/>
      </c>
    </row>
    <row r="839" ht="20" customHeight="1">
      <c r="A839" s="60" t="n"/>
      <c r="B839" s="65">
        <f>IF(A839="","",IFERROR(INDEX(Bestand!$B$14:$B$213,MATCH(A839,Bestand!$A$14:$A$213,0)),"ID unbekannt"))</f>
        <v/>
      </c>
      <c r="C839" s="63" t="n"/>
      <c r="D839" s="62" t="n"/>
      <c r="E839" s="60" t="n"/>
      <c r="F839" s="60" t="n"/>
      <c r="G839" s="61" t="n"/>
      <c r="H839" s="69">
        <f>IF(OR(A839="",C839=""),"",COUNTIFS($A$7:$A$1006,A839,$C$7:$C$1006,"&lt;"&amp;C839)+1)</f>
        <v/>
      </c>
      <c r="I839" s="67">
        <f>IF(H839="","",IF(H839=1,"",C839-_xlfn.MAXIFS($C$7:$C$1006,$A$7:$A$1006,A839,$C$7:$C$1006,"&lt;"&amp;C839)))</f>
        <v/>
      </c>
      <c r="J839" s="68">
        <f>IF(I839="","",I839/TpM)</f>
        <v/>
      </c>
      <c r="K839" s="69">
        <f>IF(H839="","",COUNTIFS($A$7:$A$1006,A839,$C$7:$C$1006,"&gt;0")-H839)</f>
        <v/>
      </c>
      <c r="L839" s="69">
        <f>IF(H839="","",A839&amp;"|"&amp;H839)</f>
        <v/>
      </c>
      <c r="M839" s="69">
        <f>IF(A839="","",IFERROR(INDEX(Bestand!$AC$14:$AC$213,MATCH(A839,Bestand!$A$14:$A$213,0)),0))</f>
        <v/>
      </c>
      <c r="N839" s="69">
        <f>IF(OR(H839="",M839&lt;&gt;1),"",C839+ROW()/100000)</f>
        <v/>
      </c>
    </row>
    <row r="840" ht="20" customHeight="1">
      <c r="A840" s="60" t="n"/>
      <c r="B840" s="65">
        <f>IF(A840="","",IFERROR(INDEX(Bestand!$B$14:$B$213,MATCH(A840,Bestand!$A$14:$A$213,0)),"ID unbekannt"))</f>
        <v/>
      </c>
      <c r="C840" s="63" t="n"/>
      <c r="D840" s="62" t="n"/>
      <c r="E840" s="60" t="n"/>
      <c r="F840" s="60" t="n"/>
      <c r="G840" s="61" t="n"/>
      <c r="H840" s="69">
        <f>IF(OR(A840="",C840=""),"",COUNTIFS($A$7:$A$1006,A840,$C$7:$C$1006,"&lt;"&amp;C840)+1)</f>
        <v/>
      </c>
      <c r="I840" s="67">
        <f>IF(H840="","",IF(H840=1,"",C840-_xlfn.MAXIFS($C$7:$C$1006,$A$7:$A$1006,A840,$C$7:$C$1006,"&lt;"&amp;C840)))</f>
        <v/>
      </c>
      <c r="J840" s="68">
        <f>IF(I840="","",I840/TpM)</f>
        <v/>
      </c>
      <c r="K840" s="69">
        <f>IF(H840="","",COUNTIFS($A$7:$A$1006,A840,$C$7:$C$1006,"&gt;0")-H840)</f>
        <v/>
      </c>
      <c r="L840" s="69">
        <f>IF(H840="","",A840&amp;"|"&amp;H840)</f>
        <v/>
      </c>
      <c r="M840" s="69">
        <f>IF(A840="","",IFERROR(INDEX(Bestand!$AC$14:$AC$213,MATCH(A840,Bestand!$A$14:$A$213,0)),0))</f>
        <v/>
      </c>
      <c r="N840" s="69">
        <f>IF(OR(H840="",M840&lt;&gt;1),"",C840+ROW()/100000)</f>
        <v/>
      </c>
    </row>
    <row r="841" ht="20" customHeight="1">
      <c r="A841" s="60" t="n"/>
      <c r="B841" s="65">
        <f>IF(A841="","",IFERROR(INDEX(Bestand!$B$14:$B$213,MATCH(A841,Bestand!$A$14:$A$213,0)),"ID unbekannt"))</f>
        <v/>
      </c>
      <c r="C841" s="63" t="n"/>
      <c r="D841" s="62" t="n"/>
      <c r="E841" s="60" t="n"/>
      <c r="F841" s="60" t="n"/>
      <c r="G841" s="61" t="n"/>
      <c r="H841" s="69">
        <f>IF(OR(A841="",C841=""),"",COUNTIFS($A$7:$A$1006,A841,$C$7:$C$1006,"&lt;"&amp;C841)+1)</f>
        <v/>
      </c>
      <c r="I841" s="67">
        <f>IF(H841="","",IF(H841=1,"",C841-_xlfn.MAXIFS($C$7:$C$1006,$A$7:$A$1006,A841,$C$7:$C$1006,"&lt;"&amp;C841)))</f>
        <v/>
      </c>
      <c r="J841" s="68">
        <f>IF(I841="","",I841/TpM)</f>
        <v/>
      </c>
      <c r="K841" s="69">
        <f>IF(H841="","",COUNTIFS($A$7:$A$1006,A841,$C$7:$C$1006,"&gt;0")-H841)</f>
        <v/>
      </c>
      <c r="L841" s="69">
        <f>IF(H841="","",A841&amp;"|"&amp;H841)</f>
        <v/>
      </c>
      <c r="M841" s="69">
        <f>IF(A841="","",IFERROR(INDEX(Bestand!$AC$14:$AC$213,MATCH(A841,Bestand!$A$14:$A$213,0)),0))</f>
        <v/>
      </c>
      <c r="N841" s="69">
        <f>IF(OR(H841="",M841&lt;&gt;1),"",C841+ROW()/100000)</f>
        <v/>
      </c>
    </row>
    <row r="842" ht="20" customHeight="1">
      <c r="A842" s="60" t="n"/>
      <c r="B842" s="65">
        <f>IF(A842="","",IFERROR(INDEX(Bestand!$B$14:$B$213,MATCH(A842,Bestand!$A$14:$A$213,0)),"ID unbekannt"))</f>
        <v/>
      </c>
      <c r="C842" s="63" t="n"/>
      <c r="D842" s="62" t="n"/>
      <c r="E842" s="60" t="n"/>
      <c r="F842" s="60" t="n"/>
      <c r="G842" s="61" t="n"/>
      <c r="H842" s="69">
        <f>IF(OR(A842="",C842=""),"",COUNTIFS($A$7:$A$1006,A842,$C$7:$C$1006,"&lt;"&amp;C842)+1)</f>
        <v/>
      </c>
      <c r="I842" s="67">
        <f>IF(H842="","",IF(H842=1,"",C842-_xlfn.MAXIFS($C$7:$C$1006,$A$7:$A$1006,A842,$C$7:$C$1006,"&lt;"&amp;C842)))</f>
        <v/>
      </c>
      <c r="J842" s="68">
        <f>IF(I842="","",I842/TpM)</f>
        <v/>
      </c>
      <c r="K842" s="69">
        <f>IF(H842="","",COUNTIFS($A$7:$A$1006,A842,$C$7:$C$1006,"&gt;0")-H842)</f>
        <v/>
      </c>
      <c r="L842" s="69">
        <f>IF(H842="","",A842&amp;"|"&amp;H842)</f>
        <v/>
      </c>
      <c r="M842" s="69">
        <f>IF(A842="","",IFERROR(INDEX(Bestand!$AC$14:$AC$213,MATCH(A842,Bestand!$A$14:$A$213,0)),0))</f>
        <v/>
      </c>
      <c r="N842" s="69">
        <f>IF(OR(H842="",M842&lt;&gt;1),"",C842+ROW()/100000)</f>
        <v/>
      </c>
    </row>
    <row r="843" ht="20" customHeight="1">
      <c r="A843" s="60" t="n"/>
      <c r="B843" s="65">
        <f>IF(A843="","",IFERROR(INDEX(Bestand!$B$14:$B$213,MATCH(A843,Bestand!$A$14:$A$213,0)),"ID unbekannt"))</f>
        <v/>
      </c>
      <c r="C843" s="63" t="n"/>
      <c r="D843" s="62" t="n"/>
      <c r="E843" s="60" t="n"/>
      <c r="F843" s="60" t="n"/>
      <c r="G843" s="61" t="n"/>
      <c r="H843" s="69">
        <f>IF(OR(A843="",C843=""),"",COUNTIFS($A$7:$A$1006,A843,$C$7:$C$1006,"&lt;"&amp;C843)+1)</f>
        <v/>
      </c>
      <c r="I843" s="67">
        <f>IF(H843="","",IF(H843=1,"",C843-_xlfn.MAXIFS($C$7:$C$1006,$A$7:$A$1006,A843,$C$7:$C$1006,"&lt;"&amp;C843)))</f>
        <v/>
      </c>
      <c r="J843" s="68">
        <f>IF(I843="","",I843/TpM)</f>
        <v/>
      </c>
      <c r="K843" s="69">
        <f>IF(H843="","",COUNTIFS($A$7:$A$1006,A843,$C$7:$C$1006,"&gt;0")-H843)</f>
        <v/>
      </c>
      <c r="L843" s="69">
        <f>IF(H843="","",A843&amp;"|"&amp;H843)</f>
        <v/>
      </c>
      <c r="M843" s="69">
        <f>IF(A843="","",IFERROR(INDEX(Bestand!$AC$14:$AC$213,MATCH(A843,Bestand!$A$14:$A$213,0)),0))</f>
        <v/>
      </c>
      <c r="N843" s="69">
        <f>IF(OR(H843="",M843&lt;&gt;1),"",C843+ROW()/100000)</f>
        <v/>
      </c>
    </row>
    <row r="844" ht="20" customHeight="1">
      <c r="A844" s="60" t="n"/>
      <c r="B844" s="65">
        <f>IF(A844="","",IFERROR(INDEX(Bestand!$B$14:$B$213,MATCH(A844,Bestand!$A$14:$A$213,0)),"ID unbekannt"))</f>
        <v/>
      </c>
      <c r="C844" s="63" t="n"/>
      <c r="D844" s="62" t="n"/>
      <c r="E844" s="60" t="n"/>
      <c r="F844" s="60" t="n"/>
      <c r="G844" s="61" t="n"/>
      <c r="H844" s="69">
        <f>IF(OR(A844="",C844=""),"",COUNTIFS($A$7:$A$1006,A844,$C$7:$C$1006,"&lt;"&amp;C844)+1)</f>
        <v/>
      </c>
      <c r="I844" s="67">
        <f>IF(H844="","",IF(H844=1,"",C844-_xlfn.MAXIFS($C$7:$C$1006,$A$7:$A$1006,A844,$C$7:$C$1006,"&lt;"&amp;C844)))</f>
        <v/>
      </c>
      <c r="J844" s="68">
        <f>IF(I844="","",I844/TpM)</f>
        <v/>
      </c>
      <c r="K844" s="69">
        <f>IF(H844="","",COUNTIFS($A$7:$A$1006,A844,$C$7:$C$1006,"&gt;0")-H844)</f>
        <v/>
      </c>
      <c r="L844" s="69">
        <f>IF(H844="","",A844&amp;"|"&amp;H844)</f>
        <v/>
      </c>
      <c r="M844" s="69">
        <f>IF(A844="","",IFERROR(INDEX(Bestand!$AC$14:$AC$213,MATCH(A844,Bestand!$A$14:$A$213,0)),0))</f>
        <v/>
      </c>
      <c r="N844" s="69">
        <f>IF(OR(H844="",M844&lt;&gt;1),"",C844+ROW()/100000)</f>
        <v/>
      </c>
    </row>
    <row r="845" ht="20" customHeight="1">
      <c r="A845" s="60" t="n"/>
      <c r="B845" s="65">
        <f>IF(A845="","",IFERROR(INDEX(Bestand!$B$14:$B$213,MATCH(A845,Bestand!$A$14:$A$213,0)),"ID unbekannt"))</f>
        <v/>
      </c>
      <c r="C845" s="63" t="n"/>
      <c r="D845" s="62" t="n"/>
      <c r="E845" s="60" t="n"/>
      <c r="F845" s="60" t="n"/>
      <c r="G845" s="61" t="n"/>
      <c r="H845" s="69">
        <f>IF(OR(A845="",C845=""),"",COUNTIFS($A$7:$A$1006,A845,$C$7:$C$1006,"&lt;"&amp;C845)+1)</f>
        <v/>
      </c>
      <c r="I845" s="67">
        <f>IF(H845="","",IF(H845=1,"",C845-_xlfn.MAXIFS($C$7:$C$1006,$A$7:$A$1006,A845,$C$7:$C$1006,"&lt;"&amp;C845)))</f>
        <v/>
      </c>
      <c r="J845" s="68">
        <f>IF(I845="","",I845/TpM)</f>
        <v/>
      </c>
      <c r="K845" s="69">
        <f>IF(H845="","",COUNTIFS($A$7:$A$1006,A845,$C$7:$C$1006,"&gt;0")-H845)</f>
        <v/>
      </c>
      <c r="L845" s="69">
        <f>IF(H845="","",A845&amp;"|"&amp;H845)</f>
        <v/>
      </c>
      <c r="M845" s="69">
        <f>IF(A845="","",IFERROR(INDEX(Bestand!$AC$14:$AC$213,MATCH(A845,Bestand!$A$14:$A$213,0)),0))</f>
        <v/>
      </c>
      <c r="N845" s="69">
        <f>IF(OR(H845="",M845&lt;&gt;1),"",C845+ROW()/100000)</f>
        <v/>
      </c>
    </row>
    <row r="846" ht="20" customHeight="1">
      <c r="A846" s="60" t="n"/>
      <c r="B846" s="65">
        <f>IF(A846="","",IFERROR(INDEX(Bestand!$B$14:$B$213,MATCH(A846,Bestand!$A$14:$A$213,0)),"ID unbekannt"))</f>
        <v/>
      </c>
      <c r="C846" s="63" t="n"/>
      <c r="D846" s="62" t="n"/>
      <c r="E846" s="60" t="n"/>
      <c r="F846" s="60" t="n"/>
      <c r="G846" s="61" t="n"/>
      <c r="H846" s="69">
        <f>IF(OR(A846="",C846=""),"",COUNTIFS($A$7:$A$1006,A846,$C$7:$C$1006,"&lt;"&amp;C846)+1)</f>
        <v/>
      </c>
      <c r="I846" s="67">
        <f>IF(H846="","",IF(H846=1,"",C846-_xlfn.MAXIFS($C$7:$C$1006,$A$7:$A$1006,A846,$C$7:$C$1006,"&lt;"&amp;C846)))</f>
        <v/>
      </c>
      <c r="J846" s="68">
        <f>IF(I846="","",I846/TpM)</f>
        <v/>
      </c>
      <c r="K846" s="69">
        <f>IF(H846="","",COUNTIFS($A$7:$A$1006,A846,$C$7:$C$1006,"&gt;0")-H846)</f>
        <v/>
      </c>
      <c r="L846" s="69">
        <f>IF(H846="","",A846&amp;"|"&amp;H846)</f>
        <v/>
      </c>
      <c r="M846" s="69">
        <f>IF(A846="","",IFERROR(INDEX(Bestand!$AC$14:$AC$213,MATCH(A846,Bestand!$A$14:$A$213,0)),0))</f>
        <v/>
      </c>
      <c r="N846" s="69">
        <f>IF(OR(H846="",M846&lt;&gt;1),"",C846+ROW()/100000)</f>
        <v/>
      </c>
    </row>
    <row r="847" ht="20" customHeight="1">
      <c r="A847" s="60" t="n"/>
      <c r="B847" s="65">
        <f>IF(A847="","",IFERROR(INDEX(Bestand!$B$14:$B$213,MATCH(A847,Bestand!$A$14:$A$213,0)),"ID unbekannt"))</f>
        <v/>
      </c>
      <c r="C847" s="63" t="n"/>
      <c r="D847" s="62" t="n"/>
      <c r="E847" s="60" t="n"/>
      <c r="F847" s="60" t="n"/>
      <c r="G847" s="61" t="n"/>
      <c r="H847" s="69">
        <f>IF(OR(A847="",C847=""),"",COUNTIFS($A$7:$A$1006,A847,$C$7:$C$1006,"&lt;"&amp;C847)+1)</f>
        <v/>
      </c>
      <c r="I847" s="67">
        <f>IF(H847="","",IF(H847=1,"",C847-_xlfn.MAXIFS($C$7:$C$1006,$A$7:$A$1006,A847,$C$7:$C$1006,"&lt;"&amp;C847)))</f>
        <v/>
      </c>
      <c r="J847" s="68">
        <f>IF(I847="","",I847/TpM)</f>
        <v/>
      </c>
      <c r="K847" s="69">
        <f>IF(H847="","",COUNTIFS($A$7:$A$1006,A847,$C$7:$C$1006,"&gt;0")-H847)</f>
        <v/>
      </c>
      <c r="L847" s="69">
        <f>IF(H847="","",A847&amp;"|"&amp;H847)</f>
        <v/>
      </c>
      <c r="M847" s="69">
        <f>IF(A847="","",IFERROR(INDEX(Bestand!$AC$14:$AC$213,MATCH(A847,Bestand!$A$14:$A$213,0)),0))</f>
        <v/>
      </c>
      <c r="N847" s="69">
        <f>IF(OR(H847="",M847&lt;&gt;1),"",C847+ROW()/100000)</f>
        <v/>
      </c>
    </row>
    <row r="848" ht="20" customHeight="1">
      <c r="A848" s="60" t="n"/>
      <c r="B848" s="65">
        <f>IF(A848="","",IFERROR(INDEX(Bestand!$B$14:$B$213,MATCH(A848,Bestand!$A$14:$A$213,0)),"ID unbekannt"))</f>
        <v/>
      </c>
      <c r="C848" s="63" t="n"/>
      <c r="D848" s="62" t="n"/>
      <c r="E848" s="60" t="n"/>
      <c r="F848" s="60" t="n"/>
      <c r="G848" s="61" t="n"/>
      <c r="H848" s="69">
        <f>IF(OR(A848="",C848=""),"",COUNTIFS($A$7:$A$1006,A848,$C$7:$C$1006,"&lt;"&amp;C848)+1)</f>
        <v/>
      </c>
      <c r="I848" s="67">
        <f>IF(H848="","",IF(H848=1,"",C848-_xlfn.MAXIFS($C$7:$C$1006,$A$7:$A$1006,A848,$C$7:$C$1006,"&lt;"&amp;C848)))</f>
        <v/>
      </c>
      <c r="J848" s="68">
        <f>IF(I848="","",I848/TpM)</f>
        <v/>
      </c>
      <c r="K848" s="69">
        <f>IF(H848="","",COUNTIFS($A$7:$A$1006,A848,$C$7:$C$1006,"&gt;0")-H848)</f>
        <v/>
      </c>
      <c r="L848" s="69">
        <f>IF(H848="","",A848&amp;"|"&amp;H848)</f>
        <v/>
      </c>
      <c r="M848" s="69">
        <f>IF(A848="","",IFERROR(INDEX(Bestand!$AC$14:$AC$213,MATCH(A848,Bestand!$A$14:$A$213,0)),0))</f>
        <v/>
      </c>
      <c r="N848" s="69">
        <f>IF(OR(H848="",M848&lt;&gt;1),"",C848+ROW()/100000)</f>
        <v/>
      </c>
    </row>
    <row r="849" ht="20" customHeight="1">
      <c r="A849" s="60" t="n"/>
      <c r="B849" s="65">
        <f>IF(A849="","",IFERROR(INDEX(Bestand!$B$14:$B$213,MATCH(A849,Bestand!$A$14:$A$213,0)),"ID unbekannt"))</f>
        <v/>
      </c>
      <c r="C849" s="63" t="n"/>
      <c r="D849" s="62" t="n"/>
      <c r="E849" s="60" t="n"/>
      <c r="F849" s="60" t="n"/>
      <c r="G849" s="61" t="n"/>
      <c r="H849" s="69">
        <f>IF(OR(A849="",C849=""),"",COUNTIFS($A$7:$A$1006,A849,$C$7:$C$1006,"&lt;"&amp;C849)+1)</f>
        <v/>
      </c>
      <c r="I849" s="67">
        <f>IF(H849="","",IF(H849=1,"",C849-_xlfn.MAXIFS($C$7:$C$1006,$A$7:$A$1006,A849,$C$7:$C$1006,"&lt;"&amp;C849)))</f>
        <v/>
      </c>
      <c r="J849" s="68">
        <f>IF(I849="","",I849/TpM)</f>
        <v/>
      </c>
      <c r="K849" s="69">
        <f>IF(H849="","",COUNTIFS($A$7:$A$1006,A849,$C$7:$C$1006,"&gt;0")-H849)</f>
        <v/>
      </c>
      <c r="L849" s="69">
        <f>IF(H849="","",A849&amp;"|"&amp;H849)</f>
        <v/>
      </c>
      <c r="M849" s="69">
        <f>IF(A849="","",IFERROR(INDEX(Bestand!$AC$14:$AC$213,MATCH(A849,Bestand!$A$14:$A$213,0)),0))</f>
        <v/>
      </c>
      <c r="N849" s="69">
        <f>IF(OR(H849="",M849&lt;&gt;1),"",C849+ROW()/100000)</f>
        <v/>
      </c>
    </row>
    <row r="850" ht="20" customHeight="1">
      <c r="A850" s="60" t="n"/>
      <c r="B850" s="65">
        <f>IF(A850="","",IFERROR(INDEX(Bestand!$B$14:$B$213,MATCH(A850,Bestand!$A$14:$A$213,0)),"ID unbekannt"))</f>
        <v/>
      </c>
      <c r="C850" s="63" t="n"/>
      <c r="D850" s="62" t="n"/>
      <c r="E850" s="60" t="n"/>
      <c r="F850" s="60" t="n"/>
      <c r="G850" s="61" t="n"/>
      <c r="H850" s="69">
        <f>IF(OR(A850="",C850=""),"",COUNTIFS($A$7:$A$1006,A850,$C$7:$C$1006,"&lt;"&amp;C850)+1)</f>
        <v/>
      </c>
      <c r="I850" s="67">
        <f>IF(H850="","",IF(H850=1,"",C850-_xlfn.MAXIFS($C$7:$C$1006,$A$7:$A$1006,A850,$C$7:$C$1006,"&lt;"&amp;C850)))</f>
        <v/>
      </c>
      <c r="J850" s="68">
        <f>IF(I850="","",I850/TpM)</f>
        <v/>
      </c>
      <c r="K850" s="69">
        <f>IF(H850="","",COUNTIFS($A$7:$A$1006,A850,$C$7:$C$1006,"&gt;0")-H850)</f>
        <v/>
      </c>
      <c r="L850" s="69">
        <f>IF(H850="","",A850&amp;"|"&amp;H850)</f>
        <v/>
      </c>
      <c r="M850" s="69">
        <f>IF(A850="","",IFERROR(INDEX(Bestand!$AC$14:$AC$213,MATCH(A850,Bestand!$A$14:$A$213,0)),0))</f>
        <v/>
      </c>
      <c r="N850" s="69">
        <f>IF(OR(H850="",M850&lt;&gt;1),"",C850+ROW()/100000)</f>
        <v/>
      </c>
    </row>
    <row r="851" ht="20" customHeight="1">
      <c r="A851" s="60" t="n"/>
      <c r="B851" s="65">
        <f>IF(A851="","",IFERROR(INDEX(Bestand!$B$14:$B$213,MATCH(A851,Bestand!$A$14:$A$213,0)),"ID unbekannt"))</f>
        <v/>
      </c>
      <c r="C851" s="63" t="n"/>
      <c r="D851" s="62" t="n"/>
      <c r="E851" s="60" t="n"/>
      <c r="F851" s="60" t="n"/>
      <c r="G851" s="61" t="n"/>
      <c r="H851" s="69">
        <f>IF(OR(A851="",C851=""),"",COUNTIFS($A$7:$A$1006,A851,$C$7:$C$1006,"&lt;"&amp;C851)+1)</f>
        <v/>
      </c>
      <c r="I851" s="67">
        <f>IF(H851="","",IF(H851=1,"",C851-_xlfn.MAXIFS($C$7:$C$1006,$A$7:$A$1006,A851,$C$7:$C$1006,"&lt;"&amp;C851)))</f>
        <v/>
      </c>
      <c r="J851" s="68">
        <f>IF(I851="","",I851/TpM)</f>
        <v/>
      </c>
      <c r="K851" s="69">
        <f>IF(H851="","",COUNTIFS($A$7:$A$1006,A851,$C$7:$C$1006,"&gt;0")-H851)</f>
        <v/>
      </c>
      <c r="L851" s="69">
        <f>IF(H851="","",A851&amp;"|"&amp;H851)</f>
        <v/>
      </c>
      <c r="M851" s="69">
        <f>IF(A851="","",IFERROR(INDEX(Bestand!$AC$14:$AC$213,MATCH(A851,Bestand!$A$14:$A$213,0)),0))</f>
        <v/>
      </c>
      <c r="N851" s="69">
        <f>IF(OR(H851="",M851&lt;&gt;1),"",C851+ROW()/100000)</f>
        <v/>
      </c>
    </row>
    <row r="852" ht="20" customHeight="1">
      <c r="A852" s="60" t="n"/>
      <c r="B852" s="65">
        <f>IF(A852="","",IFERROR(INDEX(Bestand!$B$14:$B$213,MATCH(A852,Bestand!$A$14:$A$213,0)),"ID unbekannt"))</f>
        <v/>
      </c>
      <c r="C852" s="63" t="n"/>
      <c r="D852" s="62" t="n"/>
      <c r="E852" s="60" t="n"/>
      <c r="F852" s="60" t="n"/>
      <c r="G852" s="61" t="n"/>
      <c r="H852" s="69">
        <f>IF(OR(A852="",C852=""),"",COUNTIFS($A$7:$A$1006,A852,$C$7:$C$1006,"&lt;"&amp;C852)+1)</f>
        <v/>
      </c>
      <c r="I852" s="67">
        <f>IF(H852="","",IF(H852=1,"",C852-_xlfn.MAXIFS($C$7:$C$1006,$A$7:$A$1006,A852,$C$7:$C$1006,"&lt;"&amp;C852)))</f>
        <v/>
      </c>
      <c r="J852" s="68">
        <f>IF(I852="","",I852/TpM)</f>
        <v/>
      </c>
      <c r="K852" s="69">
        <f>IF(H852="","",COUNTIFS($A$7:$A$1006,A852,$C$7:$C$1006,"&gt;0")-H852)</f>
        <v/>
      </c>
      <c r="L852" s="69">
        <f>IF(H852="","",A852&amp;"|"&amp;H852)</f>
        <v/>
      </c>
      <c r="M852" s="69">
        <f>IF(A852="","",IFERROR(INDEX(Bestand!$AC$14:$AC$213,MATCH(A852,Bestand!$A$14:$A$213,0)),0))</f>
        <v/>
      </c>
      <c r="N852" s="69">
        <f>IF(OR(H852="",M852&lt;&gt;1),"",C852+ROW()/100000)</f>
        <v/>
      </c>
    </row>
    <row r="853" ht="20" customHeight="1">
      <c r="A853" s="60" t="n"/>
      <c r="B853" s="65">
        <f>IF(A853="","",IFERROR(INDEX(Bestand!$B$14:$B$213,MATCH(A853,Bestand!$A$14:$A$213,0)),"ID unbekannt"))</f>
        <v/>
      </c>
      <c r="C853" s="63" t="n"/>
      <c r="D853" s="62" t="n"/>
      <c r="E853" s="60" t="n"/>
      <c r="F853" s="60" t="n"/>
      <c r="G853" s="61" t="n"/>
      <c r="H853" s="69">
        <f>IF(OR(A853="",C853=""),"",COUNTIFS($A$7:$A$1006,A853,$C$7:$C$1006,"&lt;"&amp;C853)+1)</f>
        <v/>
      </c>
      <c r="I853" s="67">
        <f>IF(H853="","",IF(H853=1,"",C853-_xlfn.MAXIFS($C$7:$C$1006,$A$7:$A$1006,A853,$C$7:$C$1006,"&lt;"&amp;C853)))</f>
        <v/>
      </c>
      <c r="J853" s="68">
        <f>IF(I853="","",I853/TpM)</f>
        <v/>
      </c>
      <c r="K853" s="69">
        <f>IF(H853="","",COUNTIFS($A$7:$A$1006,A853,$C$7:$C$1006,"&gt;0")-H853)</f>
        <v/>
      </c>
      <c r="L853" s="69">
        <f>IF(H853="","",A853&amp;"|"&amp;H853)</f>
        <v/>
      </c>
      <c r="M853" s="69">
        <f>IF(A853="","",IFERROR(INDEX(Bestand!$AC$14:$AC$213,MATCH(A853,Bestand!$A$14:$A$213,0)),0))</f>
        <v/>
      </c>
      <c r="N853" s="69">
        <f>IF(OR(H853="",M853&lt;&gt;1),"",C853+ROW()/100000)</f>
        <v/>
      </c>
    </row>
    <row r="854" ht="20" customHeight="1">
      <c r="A854" s="60" t="n"/>
      <c r="B854" s="65">
        <f>IF(A854="","",IFERROR(INDEX(Bestand!$B$14:$B$213,MATCH(A854,Bestand!$A$14:$A$213,0)),"ID unbekannt"))</f>
        <v/>
      </c>
      <c r="C854" s="63" t="n"/>
      <c r="D854" s="62" t="n"/>
      <c r="E854" s="60" t="n"/>
      <c r="F854" s="60" t="n"/>
      <c r="G854" s="61" t="n"/>
      <c r="H854" s="69">
        <f>IF(OR(A854="",C854=""),"",COUNTIFS($A$7:$A$1006,A854,$C$7:$C$1006,"&lt;"&amp;C854)+1)</f>
        <v/>
      </c>
      <c r="I854" s="67">
        <f>IF(H854="","",IF(H854=1,"",C854-_xlfn.MAXIFS($C$7:$C$1006,$A$7:$A$1006,A854,$C$7:$C$1006,"&lt;"&amp;C854)))</f>
        <v/>
      </c>
      <c r="J854" s="68">
        <f>IF(I854="","",I854/TpM)</f>
        <v/>
      </c>
      <c r="K854" s="69">
        <f>IF(H854="","",COUNTIFS($A$7:$A$1006,A854,$C$7:$C$1006,"&gt;0")-H854)</f>
        <v/>
      </c>
      <c r="L854" s="69">
        <f>IF(H854="","",A854&amp;"|"&amp;H854)</f>
        <v/>
      </c>
      <c r="M854" s="69">
        <f>IF(A854="","",IFERROR(INDEX(Bestand!$AC$14:$AC$213,MATCH(A854,Bestand!$A$14:$A$213,0)),0))</f>
        <v/>
      </c>
      <c r="N854" s="69">
        <f>IF(OR(H854="",M854&lt;&gt;1),"",C854+ROW()/100000)</f>
        <v/>
      </c>
    </row>
    <row r="855" ht="20" customHeight="1">
      <c r="A855" s="60" t="n"/>
      <c r="B855" s="65">
        <f>IF(A855="","",IFERROR(INDEX(Bestand!$B$14:$B$213,MATCH(A855,Bestand!$A$14:$A$213,0)),"ID unbekannt"))</f>
        <v/>
      </c>
      <c r="C855" s="63" t="n"/>
      <c r="D855" s="62" t="n"/>
      <c r="E855" s="60" t="n"/>
      <c r="F855" s="60" t="n"/>
      <c r="G855" s="61" t="n"/>
      <c r="H855" s="69">
        <f>IF(OR(A855="",C855=""),"",COUNTIFS($A$7:$A$1006,A855,$C$7:$C$1006,"&lt;"&amp;C855)+1)</f>
        <v/>
      </c>
      <c r="I855" s="67">
        <f>IF(H855="","",IF(H855=1,"",C855-_xlfn.MAXIFS($C$7:$C$1006,$A$7:$A$1006,A855,$C$7:$C$1006,"&lt;"&amp;C855)))</f>
        <v/>
      </c>
      <c r="J855" s="68">
        <f>IF(I855="","",I855/TpM)</f>
        <v/>
      </c>
      <c r="K855" s="69">
        <f>IF(H855="","",COUNTIFS($A$7:$A$1006,A855,$C$7:$C$1006,"&gt;0")-H855)</f>
        <v/>
      </c>
      <c r="L855" s="69">
        <f>IF(H855="","",A855&amp;"|"&amp;H855)</f>
        <v/>
      </c>
      <c r="M855" s="69">
        <f>IF(A855="","",IFERROR(INDEX(Bestand!$AC$14:$AC$213,MATCH(A855,Bestand!$A$14:$A$213,0)),0))</f>
        <v/>
      </c>
      <c r="N855" s="69">
        <f>IF(OR(H855="",M855&lt;&gt;1),"",C855+ROW()/100000)</f>
        <v/>
      </c>
    </row>
    <row r="856" ht="20" customHeight="1">
      <c r="A856" s="60" t="n"/>
      <c r="B856" s="65">
        <f>IF(A856="","",IFERROR(INDEX(Bestand!$B$14:$B$213,MATCH(A856,Bestand!$A$14:$A$213,0)),"ID unbekannt"))</f>
        <v/>
      </c>
      <c r="C856" s="63" t="n"/>
      <c r="D856" s="62" t="n"/>
      <c r="E856" s="60" t="n"/>
      <c r="F856" s="60" t="n"/>
      <c r="G856" s="61" t="n"/>
      <c r="H856" s="69">
        <f>IF(OR(A856="",C856=""),"",COUNTIFS($A$7:$A$1006,A856,$C$7:$C$1006,"&lt;"&amp;C856)+1)</f>
        <v/>
      </c>
      <c r="I856" s="67">
        <f>IF(H856="","",IF(H856=1,"",C856-_xlfn.MAXIFS($C$7:$C$1006,$A$7:$A$1006,A856,$C$7:$C$1006,"&lt;"&amp;C856)))</f>
        <v/>
      </c>
      <c r="J856" s="68">
        <f>IF(I856="","",I856/TpM)</f>
        <v/>
      </c>
      <c r="K856" s="69">
        <f>IF(H856="","",COUNTIFS($A$7:$A$1006,A856,$C$7:$C$1006,"&gt;0")-H856)</f>
        <v/>
      </c>
      <c r="L856" s="69">
        <f>IF(H856="","",A856&amp;"|"&amp;H856)</f>
        <v/>
      </c>
      <c r="M856" s="69">
        <f>IF(A856="","",IFERROR(INDEX(Bestand!$AC$14:$AC$213,MATCH(A856,Bestand!$A$14:$A$213,0)),0))</f>
        <v/>
      </c>
      <c r="N856" s="69">
        <f>IF(OR(H856="",M856&lt;&gt;1),"",C856+ROW()/100000)</f>
        <v/>
      </c>
    </row>
    <row r="857" ht="20" customHeight="1">
      <c r="A857" s="60" t="n"/>
      <c r="B857" s="65">
        <f>IF(A857="","",IFERROR(INDEX(Bestand!$B$14:$B$213,MATCH(A857,Bestand!$A$14:$A$213,0)),"ID unbekannt"))</f>
        <v/>
      </c>
      <c r="C857" s="63" t="n"/>
      <c r="D857" s="62" t="n"/>
      <c r="E857" s="60" t="n"/>
      <c r="F857" s="60" t="n"/>
      <c r="G857" s="61" t="n"/>
      <c r="H857" s="69">
        <f>IF(OR(A857="",C857=""),"",COUNTIFS($A$7:$A$1006,A857,$C$7:$C$1006,"&lt;"&amp;C857)+1)</f>
        <v/>
      </c>
      <c r="I857" s="67">
        <f>IF(H857="","",IF(H857=1,"",C857-_xlfn.MAXIFS($C$7:$C$1006,$A$7:$A$1006,A857,$C$7:$C$1006,"&lt;"&amp;C857)))</f>
        <v/>
      </c>
      <c r="J857" s="68">
        <f>IF(I857="","",I857/TpM)</f>
        <v/>
      </c>
      <c r="K857" s="69">
        <f>IF(H857="","",COUNTIFS($A$7:$A$1006,A857,$C$7:$C$1006,"&gt;0")-H857)</f>
        <v/>
      </c>
      <c r="L857" s="69">
        <f>IF(H857="","",A857&amp;"|"&amp;H857)</f>
        <v/>
      </c>
      <c r="M857" s="69">
        <f>IF(A857="","",IFERROR(INDEX(Bestand!$AC$14:$AC$213,MATCH(A857,Bestand!$A$14:$A$213,0)),0))</f>
        <v/>
      </c>
      <c r="N857" s="69">
        <f>IF(OR(H857="",M857&lt;&gt;1),"",C857+ROW()/100000)</f>
        <v/>
      </c>
    </row>
    <row r="858" ht="20" customHeight="1">
      <c r="A858" s="60" t="n"/>
      <c r="B858" s="65">
        <f>IF(A858="","",IFERROR(INDEX(Bestand!$B$14:$B$213,MATCH(A858,Bestand!$A$14:$A$213,0)),"ID unbekannt"))</f>
        <v/>
      </c>
      <c r="C858" s="63" t="n"/>
      <c r="D858" s="62" t="n"/>
      <c r="E858" s="60" t="n"/>
      <c r="F858" s="60" t="n"/>
      <c r="G858" s="61" t="n"/>
      <c r="H858" s="69">
        <f>IF(OR(A858="",C858=""),"",COUNTIFS($A$7:$A$1006,A858,$C$7:$C$1006,"&lt;"&amp;C858)+1)</f>
        <v/>
      </c>
      <c r="I858" s="67">
        <f>IF(H858="","",IF(H858=1,"",C858-_xlfn.MAXIFS($C$7:$C$1006,$A$7:$A$1006,A858,$C$7:$C$1006,"&lt;"&amp;C858)))</f>
        <v/>
      </c>
      <c r="J858" s="68">
        <f>IF(I858="","",I858/TpM)</f>
        <v/>
      </c>
      <c r="K858" s="69">
        <f>IF(H858="","",COUNTIFS($A$7:$A$1006,A858,$C$7:$C$1006,"&gt;0")-H858)</f>
        <v/>
      </c>
      <c r="L858" s="69">
        <f>IF(H858="","",A858&amp;"|"&amp;H858)</f>
        <v/>
      </c>
      <c r="M858" s="69">
        <f>IF(A858="","",IFERROR(INDEX(Bestand!$AC$14:$AC$213,MATCH(A858,Bestand!$A$14:$A$213,0)),0))</f>
        <v/>
      </c>
      <c r="N858" s="69">
        <f>IF(OR(H858="",M858&lt;&gt;1),"",C858+ROW()/100000)</f>
        <v/>
      </c>
    </row>
    <row r="859" ht="20" customHeight="1">
      <c r="A859" s="60" t="n"/>
      <c r="B859" s="65">
        <f>IF(A859="","",IFERROR(INDEX(Bestand!$B$14:$B$213,MATCH(A859,Bestand!$A$14:$A$213,0)),"ID unbekannt"))</f>
        <v/>
      </c>
      <c r="C859" s="63" t="n"/>
      <c r="D859" s="62" t="n"/>
      <c r="E859" s="60" t="n"/>
      <c r="F859" s="60" t="n"/>
      <c r="G859" s="61" t="n"/>
      <c r="H859" s="69">
        <f>IF(OR(A859="",C859=""),"",COUNTIFS($A$7:$A$1006,A859,$C$7:$C$1006,"&lt;"&amp;C859)+1)</f>
        <v/>
      </c>
      <c r="I859" s="67">
        <f>IF(H859="","",IF(H859=1,"",C859-_xlfn.MAXIFS($C$7:$C$1006,$A$7:$A$1006,A859,$C$7:$C$1006,"&lt;"&amp;C859)))</f>
        <v/>
      </c>
      <c r="J859" s="68">
        <f>IF(I859="","",I859/TpM)</f>
        <v/>
      </c>
      <c r="K859" s="69">
        <f>IF(H859="","",COUNTIFS($A$7:$A$1006,A859,$C$7:$C$1006,"&gt;0")-H859)</f>
        <v/>
      </c>
      <c r="L859" s="69">
        <f>IF(H859="","",A859&amp;"|"&amp;H859)</f>
        <v/>
      </c>
      <c r="M859" s="69">
        <f>IF(A859="","",IFERROR(INDEX(Bestand!$AC$14:$AC$213,MATCH(A859,Bestand!$A$14:$A$213,0)),0))</f>
        <v/>
      </c>
      <c r="N859" s="69">
        <f>IF(OR(H859="",M859&lt;&gt;1),"",C859+ROW()/100000)</f>
        <v/>
      </c>
    </row>
    <row r="860" ht="20" customHeight="1">
      <c r="A860" s="60" t="n"/>
      <c r="B860" s="65">
        <f>IF(A860="","",IFERROR(INDEX(Bestand!$B$14:$B$213,MATCH(A860,Bestand!$A$14:$A$213,0)),"ID unbekannt"))</f>
        <v/>
      </c>
      <c r="C860" s="63" t="n"/>
      <c r="D860" s="62" t="n"/>
      <c r="E860" s="60" t="n"/>
      <c r="F860" s="60" t="n"/>
      <c r="G860" s="61" t="n"/>
      <c r="H860" s="69">
        <f>IF(OR(A860="",C860=""),"",COUNTIFS($A$7:$A$1006,A860,$C$7:$C$1006,"&lt;"&amp;C860)+1)</f>
        <v/>
      </c>
      <c r="I860" s="67">
        <f>IF(H860="","",IF(H860=1,"",C860-_xlfn.MAXIFS($C$7:$C$1006,$A$7:$A$1006,A860,$C$7:$C$1006,"&lt;"&amp;C860)))</f>
        <v/>
      </c>
      <c r="J860" s="68">
        <f>IF(I860="","",I860/TpM)</f>
        <v/>
      </c>
      <c r="K860" s="69">
        <f>IF(H860="","",COUNTIFS($A$7:$A$1006,A860,$C$7:$C$1006,"&gt;0")-H860)</f>
        <v/>
      </c>
      <c r="L860" s="69">
        <f>IF(H860="","",A860&amp;"|"&amp;H860)</f>
        <v/>
      </c>
      <c r="M860" s="69">
        <f>IF(A860="","",IFERROR(INDEX(Bestand!$AC$14:$AC$213,MATCH(A860,Bestand!$A$14:$A$213,0)),0))</f>
        <v/>
      </c>
      <c r="N860" s="69">
        <f>IF(OR(H860="",M860&lt;&gt;1),"",C860+ROW()/100000)</f>
        <v/>
      </c>
    </row>
    <row r="861" ht="20" customHeight="1">
      <c r="A861" s="60" t="n"/>
      <c r="B861" s="65">
        <f>IF(A861="","",IFERROR(INDEX(Bestand!$B$14:$B$213,MATCH(A861,Bestand!$A$14:$A$213,0)),"ID unbekannt"))</f>
        <v/>
      </c>
      <c r="C861" s="63" t="n"/>
      <c r="D861" s="62" t="n"/>
      <c r="E861" s="60" t="n"/>
      <c r="F861" s="60" t="n"/>
      <c r="G861" s="61" t="n"/>
      <c r="H861" s="69">
        <f>IF(OR(A861="",C861=""),"",COUNTIFS($A$7:$A$1006,A861,$C$7:$C$1006,"&lt;"&amp;C861)+1)</f>
        <v/>
      </c>
      <c r="I861" s="67">
        <f>IF(H861="","",IF(H861=1,"",C861-_xlfn.MAXIFS($C$7:$C$1006,$A$7:$A$1006,A861,$C$7:$C$1006,"&lt;"&amp;C861)))</f>
        <v/>
      </c>
      <c r="J861" s="68">
        <f>IF(I861="","",I861/TpM)</f>
        <v/>
      </c>
      <c r="K861" s="69">
        <f>IF(H861="","",COUNTIFS($A$7:$A$1006,A861,$C$7:$C$1006,"&gt;0")-H861)</f>
        <v/>
      </c>
      <c r="L861" s="69">
        <f>IF(H861="","",A861&amp;"|"&amp;H861)</f>
        <v/>
      </c>
      <c r="M861" s="69">
        <f>IF(A861="","",IFERROR(INDEX(Bestand!$AC$14:$AC$213,MATCH(A861,Bestand!$A$14:$A$213,0)),0))</f>
        <v/>
      </c>
      <c r="N861" s="69">
        <f>IF(OR(H861="",M861&lt;&gt;1),"",C861+ROW()/100000)</f>
        <v/>
      </c>
    </row>
    <row r="862" ht="20" customHeight="1">
      <c r="A862" s="60" t="n"/>
      <c r="B862" s="65">
        <f>IF(A862="","",IFERROR(INDEX(Bestand!$B$14:$B$213,MATCH(A862,Bestand!$A$14:$A$213,0)),"ID unbekannt"))</f>
        <v/>
      </c>
      <c r="C862" s="63" t="n"/>
      <c r="D862" s="62" t="n"/>
      <c r="E862" s="60" t="n"/>
      <c r="F862" s="60" t="n"/>
      <c r="G862" s="61" t="n"/>
      <c r="H862" s="69">
        <f>IF(OR(A862="",C862=""),"",COUNTIFS($A$7:$A$1006,A862,$C$7:$C$1006,"&lt;"&amp;C862)+1)</f>
        <v/>
      </c>
      <c r="I862" s="67">
        <f>IF(H862="","",IF(H862=1,"",C862-_xlfn.MAXIFS($C$7:$C$1006,$A$7:$A$1006,A862,$C$7:$C$1006,"&lt;"&amp;C862)))</f>
        <v/>
      </c>
      <c r="J862" s="68">
        <f>IF(I862="","",I862/TpM)</f>
        <v/>
      </c>
      <c r="K862" s="69">
        <f>IF(H862="","",COUNTIFS($A$7:$A$1006,A862,$C$7:$C$1006,"&gt;0")-H862)</f>
        <v/>
      </c>
      <c r="L862" s="69">
        <f>IF(H862="","",A862&amp;"|"&amp;H862)</f>
        <v/>
      </c>
      <c r="M862" s="69">
        <f>IF(A862="","",IFERROR(INDEX(Bestand!$AC$14:$AC$213,MATCH(A862,Bestand!$A$14:$A$213,0)),0))</f>
        <v/>
      </c>
      <c r="N862" s="69">
        <f>IF(OR(H862="",M862&lt;&gt;1),"",C862+ROW()/100000)</f>
        <v/>
      </c>
    </row>
    <row r="863" ht="20" customHeight="1">
      <c r="A863" s="60" t="n"/>
      <c r="B863" s="65">
        <f>IF(A863="","",IFERROR(INDEX(Bestand!$B$14:$B$213,MATCH(A863,Bestand!$A$14:$A$213,0)),"ID unbekannt"))</f>
        <v/>
      </c>
      <c r="C863" s="63" t="n"/>
      <c r="D863" s="62" t="n"/>
      <c r="E863" s="60" t="n"/>
      <c r="F863" s="60" t="n"/>
      <c r="G863" s="61" t="n"/>
      <c r="H863" s="69">
        <f>IF(OR(A863="",C863=""),"",COUNTIFS($A$7:$A$1006,A863,$C$7:$C$1006,"&lt;"&amp;C863)+1)</f>
        <v/>
      </c>
      <c r="I863" s="67">
        <f>IF(H863="","",IF(H863=1,"",C863-_xlfn.MAXIFS($C$7:$C$1006,$A$7:$A$1006,A863,$C$7:$C$1006,"&lt;"&amp;C863)))</f>
        <v/>
      </c>
      <c r="J863" s="68">
        <f>IF(I863="","",I863/TpM)</f>
        <v/>
      </c>
      <c r="K863" s="69">
        <f>IF(H863="","",COUNTIFS($A$7:$A$1006,A863,$C$7:$C$1006,"&gt;0")-H863)</f>
        <v/>
      </c>
      <c r="L863" s="69">
        <f>IF(H863="","",A863&amp;"|"&amp;H863)</f>
        <v/>
      </c>
      <c r="M863" s="69">
        <f>IF(A863="","",IFERROR(INDEX(Bestand!$AC$14:$AC$213,MATCH(A863,Bestand!$A$14:$A$213,0)),0))</f>
        <v/>
      </c>
      <c r="N863" s="69">
        <f>IF(OR(H863="",M863&lt;&gt;1),"",C863+ROW()/100000)</f>
        <v/>
      </c>
    </row>
    <row r="864" ht="20" customHeight="1">
      <c r="A864" s="60" t="n"/>
      <c r="B864" s="65">
        <f>IF(A864="","",IFERROR(INDEX(Bestand!$B$14:$B$213,MATCH(A864,Bestand!$A$14:$A$213,0)),"ID unbekannt"))</f>
        <v/>
      </c>
      <c r="C864" s="63" t="n"/>
      <c r="D864" s="62" t="n"/>
      <c r="E864" s="60" t="n"/>
      <c r="F864" s="60" t="n"/>
      <c r="G864" s="61" t="n"/>
      <c r="H864" s="69">
        <f>IF(OR(A864="",C864=""),"",COUNTIFS($A$7:$A$1006,A864,$C$7:$C$1006,"&lt;"&amp;C864)+1)</f>
        <v/>
      </c>
      <c r="I864" s="67">
        <f>IF(H864="","",IF(H864=1,"",C864-_xlfn.MAXIFS($C$7:$C$1006,$A$7:$A$1006,A864,$C$7:$C$1006,"&lt;"&amp;C864)))</f>
        <v/>
      </c>
      <c r="J864" s="68">
        <f>IF(I864="","",I864/TpM)</f>
        <v/>
      </c>
      <c r="K864" s="69">
        <f>IF(H864="","",COUNTIFS($A$7:$A$1006,A864,$C$7:$C$1006,"&gt;0")-H864)</f>
        <v/>
      </c>
      <c r="L864" s="69">
        <f>IF(H864="","",A864&amp;"|"&amp;H864)</f>
        <v/>
      </c>
      <c r="M864" s="69">
        <f>IF(A864="","",IFERROR(INDEX(Bestand!$AC$14:$AC$213,MATCH(A864,Bestand!$A$14:$A$213,0)),0))</f>
        <v/>
      </c>
      <c r="N864" s="69">
        <f>IF(OR(H864="",M864&lt;&gt;1),"",C864+ROW()/100000)</f>
        <v/>
      </c>
    </row>
    <row r="865" ht="20" customHeight="1">
      <c r="A865" s="60" t="n"/>
      <c r="B865" s="65">
        <f>IF(A865="","",IFERROR(INDEX(Bestand!$B$14:$B$213,MATCH(A865,Bestand!$A$14:$A$213,0)),"ID unbekannt"))</f>
        <v/>
      </c>
      <c r="C865" s="63" t="n"/>
      <c r="D865" s="62" t="n"/>
      <c r="E865" s="60" t="n"/>
      <c r="F865" s="60" t="n"/>
      <c r="G865" s="61" t="n"/>
      <c r="H865" s="69">
        <f>IF(OR(A865="",C865=""),"",COUNTIFS($A$7:$A$1006,A865,$C$7:$C$1006,"&lt;"&amp;C865)+1)</f>
        <v/>
      </c>
      <c r="I865" s="67">
        <f>IF(H865="","",IF(H865=1,"",C865-_xlfn.MAXIFS($C$7:$C$1006,$A$7:$A$1006,A865,$C$7:$C$1006,"&lt;"&amp;C865)))</f>
        <v/>
      </c>
      <c r="J865" s="68">
        <f>IF(I865="","",I865/TpM)</f>
        <v/>
      </c>
      <c r="K865" s="69">
        <f>IF(H865="","",COUNTIFS($A$7:$A$1006,A865,$C$7:$C$1006,"&gt;0")-H865)</f>
        <v/>
      </c>
      <c r="L865" s="69">
        <f>IF(H865="","",A865&amp;"|"&amp;H865)</f>
        <v/>
      </c>
      <c r="M865" s="69">
        <f>IF(A865="","",IFERROR(INDEX(Bestand!$AC$14:$AC$213,MATCH(A865,Bestand!$A$14:$A$213,0)),0))</f>
        <v/>
      </c>
      <c r="N865" s="69">
        <f>IF(OR(H865="",M865&lt;&gt;1),"",C865+ROW()/100000)</f>
        <v/>
      </c>
    </row>
    <row r="866" ht="20" customHeight="1">
      <c r="A866" s="60" t="n"/>
      <c r="B866" s="65">
        <f>IF(A866="","",IFERROR(INDEX(Bestand!$B$14:$B$213,MATCH(A866,Bestand!$A$14:$A$213,0)),"ID unbekannt"))</f>
        <v/>
      </c>
      <c r="C866" s="63" t="n"/>
      <c r="D866" s="62" t="n"/>
      <c r="E866" s="60" t="n"/>
      <c r="F866" s="60" t="n"/>
      <c r="G866" s="61" t="n"/>
      <c r="H866" s="69">
        <f>IF(OR(A866="",C866=""),"",COUNTIFS($A$7:$A$1006,A866,$C$7:$C$1006,"&lt;"&amp;C866)+1)</f>
        <v/>
      </c>
      <c r="I866" s="67">
        <f>IF(H866="","",IF(H866=1,"",C866-_xlfn.MAXIFS($C$7:$C$1006,$A$7:$A$1006,A866,$C$7:$C$1006,"&lt;"&amp;C866)))</f>
        <v/>
      </c>
      <c r="J866" s="68">
        <f>IF(I866="","",I866/TpM)</f>
        <v/>
      </c>
      <c r="K866" s="69">
        <f>IF(H866="","",COUNTIFS($A$7:$A$1006,A866,$C$7:$C$1006,"&gt;0")-H866)</f>
        <v/>
      </c>
      <c r="L866" s="69">
        <f>IF(H866="","",A866&amp;"|"&amp;H866)</f>
        <v/>
      </c>
      <c r="M866" s="69">
        <f>IF(A866="","",IFERROR(INDEX(Bestand!$AC$14:$AC$213,MATCH(A866,Bestand!$A$14:$A$213,0)),0))</f>
        <v/>
      </c>
      <c r="N866" s="69">
        <f>IF(OR(H866="",M866&lt;&gt;1),"",C866+ROW()/100000)</f>
        <v/>
      </c>
    </row>
    <row r="867" ht="20" customHeight="1">
      <c r="A867" s="60" t="n"/>
      <c r="B867" s="65">
        <f>IF(A867="","",IFERROR(INDEX(Bestand!$B$14:$B$213,MATCH(A867,Bestand!$A$14:$A$213,0)),"ID unbekannt"))</f>
        <v/>
      </c>
      <c r="C867" s="63" t="n"/>
      <c r="D867" s="62" t="n"/>
      <c r="E867" s="60" t="n"/>
      <c r="F867" s="60" t="n"/>
      <c r="G867" s="61" t="n"/>
      <c r="H867" s="69">
        <f>IF(OR(A867="",C867=""),"",COUNTIFS($A$7:$A$1006,A867,$C$7:$C$1006,"&lt;"&amp;C867)+1)</f>
        <v/>
      </c>
      <c r="I867" s="67">
        <f>IF(H867="","",IF(H867=1,"",C867-_xlfn.MAXIFS($C$7:$C$1006,$A$7:$A$1006,A867,$C$7:$C$1006,"&lt;"&amp;C867)))</f>
        <v/>
      </c>
      <c r="J867" s="68">
        <f>IF(I867="","",I867/TpM)</f>
        <v/>
      </c>
      <c r="K867" s="69">
        <f>IF(H867="","",COUNTIFS($A$7:$A$1006,A867,$C$7:$C$1006,"&gt;0")-H867)</f>
        <v/>
      </c>
      <c r="L867" s="69">
        <f>IF(H867="","",A867&amp;"|"&amp;H867)</f>
        <v/>
      </c>
      <c r="M867" s="69">
        <f>IF(A867="","",IFERROR(INDEX(Bestand!$AC$14:$AC$213,MATCH(A867,Bestand!$A$14:$A$213,0)),0))</f>
        <v/>
      </c>
      <c r="N867" s="69">
        <f>IF(OR(H867="",M867&lt;&gt;1),"",C867+ROW()/100000)</f>
        <v/>
      </c>
    </row>
    <row r="868" ht="20" customHeight="1">
      <c r="A868" s="60" t="n"/>
      <c r="B868" s="65">
        <f>IF(A868="","",IFERROR(INDEX(Bestand!$B$14:$B$213,MATCH(A868,Bestand!$A$14:$A$213,0)),"ID unbekannt"))</f>
        <v/>
      </c>
      <c r="C868" s="63" t="n"/>
      <c r="D868" s="62" t="n"/>
      <c r="E868" s="60" t="n"/>
      <c r="F868" s="60" t="n"/>
      <c r="G868" s="61" t="n"/>
      <c r="H868" s="69">
        <f>IF(OR(A868="",C868=""),"",COUNTIFS($A$7:$A$1006,A868,$C$7:$C$1006,"&lt;"&amp;C868)+1)</f>
        <v/>
      </c>
      <c r="I868" s="67">
        <f>IF(H868="","",IF(H868=1,"",C868-_xlfn.MAXIFS($C$7:$C$1006,$A$7:$A$1006,A868,$C$7:$C$1006,"&lt;"&amp;C868)))</f>
        <v/>
      </c>
      <c r="J868" s="68">
        <f>IF(I868="","",I868/TpM)</f>
        <v/>
      </c>
      <c r="K868" s="69">
        <f>IF(H868="","",COUNTIFS($A$7:$A$1006,A868,$C$7:$C$1006,"&gt;0")-H868)</f>
        <v/>
      </c>
      <c r="L868" s="69">
        <f>IF(H868="","",A868&amp;"|"&amp;H868)</f>
        <v/>
      </c>
      <c r="M868" s="69">
        <f>IF(A868="","",IFERROR(INDEX(Bestand!$AC$14:$AC$213,MATCH(A868,Bestand!$A$14:$A$213,0)),0))</f>
        <v/>
      </c>
      <c r="N868" s="69">
        <f>IF(OR(H868="",M868&lt;&gt;1),"",C868+ROW()/100000)</f>
        <v/>
      </c>
    </row>
    <row r="869" ht="20" customHeight="1">
      <c r="A869" s="60" t="n"/>
      <c r="B869" s="65">
        <f>IF(A869="","",IFERROR(INDEX(Bestand!$B$14:$B$213,MATCH(A869,Bestand!$A$14:$A$213,0)),"ID unbekannt"))</f>
        <v/>
      </c>
      <c r="C869" s="63" t="n"/>
      <c r="D869" s="62" t="n"/>
      <c r="E869" s="60" t="n"/>
      <c r="F869" s="60" t="n"/>
      <c r="G869" s="61" t="n"/>
      <c r="H869" s="69">
        <f>IF(OR(A869="",C869=""),"",COUNTIFS($A$7:$A$1006,A869,$C$7:$C$1006,"&lt;"&amp;C869)+1)</f>
        <v/>
      </c>
      <c r="I869" s="67">
        <f>IF(H869="","",IF(H869=1,"",C869-_xlfn.MAXIFS($C$7:$C$1006,$A$7:$A$1006,A869,$C$7:$C$1006,"&lt;"&amp;C869)))</f>
        <v/>
      </c>
      <c r="J869" s="68">
        <f>IF(I869="","",I869/TpM)</f>
        <v/>
      </c>
      <c r="K869" s="69">
        <f>IF(H869="","",COUNTIFS($A$7:$A$1006,A869,$C$7:$C$1006,"&gt;0")-H869)</f>
        <v/>
      </c>
      <c r="L869" s="69">
        <f>IF(H869="","",A869&amp;"|"&amp;H869)</f>
        <v/>
      </c>
      <c r="M869" s="69">
        <f>IF(A869="","",IFERROR(INDEX(Bestand!$AC$14:$AC$213,MATCH(A869,Bestand!$A$14:$A$213,0)),0))</f>
        <v/>
      </c>
      <c r="N869" s="69">
        <f>IF(OR(H869="",M869&lt;&gt;1),"",C869+ROW()/100000)</f>
        <v/>
      </c>
    </row>
    <row r="870" ht="20" customHeight="1">
      <c r="A870" s="60" t="n"/>
      <c r="B870" s="65">
        <f>IF(A870="","",IFERROR(INDEX(Bestand!$B$14:$B$213,MATCH(A870,Bestand!$A$14:$A$213,0)),"ID unbekannt"))</f>
        <v/>
      </c>
      <c r="C870" s="63" t="n"/>
      <c r="D870" s="62" t="n"/>
      <c r="E870" s="60" t="n"/>
      <c r="F870" s="60" t="n"/>
      <c r="G870" s="61" t="n"/>
      <c r="H870" s="69">
        <f>IF(OR(A870="",C870=""),"",COUNTIFS($A$7:$A$1006,A870,$C$7:$C$1006,"&lt;"&amp;C870)+1)</f>
        <v/>
      </c>
      <c r="I870" s="67">
        <f>IF(H870="","",IF(H870=1,"",C870-_xlfn.MAXIFS($C$7:$C$1006,$A$7:$A$1006,A870,$C$7:$C$1006,"&lt;"&amp;C870)))</f>
        <v/>
      </c>
      <c r="J870" s="68">
        <f>IF(I870="","",I870/TpM)</f>
        <v/>
      </c>
      <c r="K870" s="69">
        <f>IF(H870="","",COUNTIFS($A$7:$A$1006,A870,$C$7:$C$1006,"&gt;0")-H870)</f>
        <v/>
      </c>
      <c r="L870" s="69">
        <f>IF(H870="","",A870&amp;"|"&amp;H870)</f>
        <v/>
      </c>
      <c r="M870" s="69">
        <f>IF(A870="","",IFERROR(INDEX(Bestand!$AC$14:$AC$213,MATCH(A870,Bestand!$A$14:$A$213,0)),0))</f>
        <v/>
      </c>
      <c r="N870" s="69">
        <f>IF(OR(H870="",M870&lt;&gt;1),"",C870+ROW()/100000)</f>
        <v/>
      </c>
    </row>
    <row r="871" ht="20" customHeight="1">
      <c r="A871" s="60" t="n"/>
      <c r="B871" s="65">
        <f>IF(A871="","",IFERROR(INDEX(Bestand!$B$14:$B$213,MATCH(A871,Bestand!$A$14:$A$213,0)),"ID unbekannt"))</f>
        <v/>
      </c>
      <c r="C871" s="63" t="n"/>
      <c r="D871" s="62" t="n"/>
      <c r="E871" s="60" t="n"/>
      <c r="F871" s="60" t="n"/>
      <c r="G871" s="61" t="n"/>
      <c r="H871" s="69">
        <f>IF(OR(A871="",C871=""),"",COUNTIFS($A$7:$A$1006,A871,$C$7:$C$1006,"&lt;"&amp;C871)+1)</f>
        <v/>
      </c>
      <c r="I871" s="67">
        <f>IF(H871="","",IF(H871=1,"",C871-_xlfn.MAXIFS($C$7:$C$1006,$A$7:$A$1006,A871,$C$7:$C$1006,"&lt;"&amp;C871)))</f>
        <v/>
      </c>
      <c r="J871" s="68">
        <f>IF(I871="","",I871/TpM)</f>
        <v/>
      </c>
      <c r="K871" s="69">
        <f>IF(H871="","",COUNTIFS($A$7:$A$1006,A871,$C$7:$C$1006,"&gt;0")-H871)</f>
        <v/>
      </c>
      <c r="L871" s="69">
        <f>IF(H871="","",A871&amp;"|"&amp;H871)</f>
        <v/>
      </c>
      <c r="M871" s="69">
        <f>IF(A871="","",IFERROR(INDEX(Bestand!$AC$14:$AC$213,MATCH(A871,Bestand!$A$14:$A$213,0)),0))</f>
        <v/>
      </c>
      <c r="N871" s="69">
        <f>IF(OR(H871="",M871&lt;&gt;1),"",C871+ROW()/100000)</f>
        <v/>
      </c>
    </row>
    <row r="872" ht="20" customHeight="1">
      <c r="A872" s="60" t="n"/>
      <c r="B872" s="65">
        <f>IF(A872="","",IFERROR(INDEX(Bestand!$B$14:$B$213,MATCH(A872,Bestand!$A$14:$A$213,0)),"ID unbekannt"))</f>
        <v/>
      </c>
      <c r="C872" s="63" t="n"/>
      <c r="D872" s="62" t="n"/>
      <c r="E872" s="60" t="n"/>
      <c r="F872" s="60" t="n"/>
      <c r="G872" s="61" t="n"/>
      <c r="H872" s="69">
        <f>IF(OR(A872="",C872=""),"",COUNTIFS($A$7:$A$1006,A872,$C$7:$C$1006,"&lt;"&amp;C872)+1)</f>
        <v/>
      </c>
      <c r="I872" s="67">
        <f>IF(H872="","",IF(H872=1,"",C872-_xlfn.MAXIFS($C$7:$C$1006,$A$7:$A$1006,A872,$C$7:$C$1006,"&lt;"&amp;C872)))</f>
        <v/>
      </c>
      <c r="J872" s="68">
        <f>IF(I872="","",I872/TpM)</f>
        <v/>
      </c>
      <c r="K872" s="69">
        <f>IF(H872="","",COUNTIFS($A$7:$A$1006,A872,$C$7:$C$1006,"&gt;0")-H872)</f>
        <v/>
      </c>
      <c r="L872" s="69">
        <f>IF(H872="","",A872&amp;"|"&amp;H872)</f>
        <v/>
      </c>
      <c r="M872" s="69">
        <f>IF(A872="","",IFERROR(INDEX(Bestand!$AC$14:$AC$213,MATCH(A872,Bestand!$A$14:$A$213,0)),0))</f>
        <v/>
      </c>
      <c r="N872" s="69">
        <f>IF(OR(H872="",M872&lt;&gt;1),"",C872+ROW()/100000)</f>
        <v/>
      </c>
    </row>
    <row r="873" ht="20" customHeight="1">
      <c r="A873" s="60" t="n"/>
      <c r="B873" s="65">
        <f>IF(A873="","",IFERROR(INDEX(Bestand!$B$14:$B$213,MATCH(A873,Bestand!$A$14:$A$213,0)),"ID unbekannt"))</f>
        <v/>
      </c>
      <c r="C873" s="63" t="n"/>
      <c r="D873" s="62" t="n"/>
      <c r="E873" s="60" t="n"/>
      <c r="F873" s="60" t="n"/>
      <c r="G873" s="61" t="n"/>
      <c r="H873" s="69">
        <f>IF(OR(A873="",C873=""),"",COUNTIFS($A$7:$A$1006,A873,$C$7:$C$1006,"&lt;"&amp;C873)+1)</f>
        <v/>
      </c>
      <c r="I873" s="67">
        <f>IF(H873="","",IF(H873=1,"",C873-_xlfn.MAXIFS($C$7:$C$1006,$A$7:$A$1006,A873,$C$7:$C$1006,"&lt;"&amp;C873)))</f>
        <v/>
      </c>
      <c r="J873" s="68">
        <f>IF(I873="","",I873/TpM)</f>
        <v/>
      </c>
      <c r="K873" s="69">
        <f>IF(H873="","",COUNTIFS($A$7:$A$1006,A873,$C$7:$C$1006,"&gt;0")-H873)</f>
        <v/>
      </c>
      <c r="L873" s="69">
        <f>IF(H873="","",A873&amp;"|"&amp;H873)</f>
        <v/>
      </c>
      <c r="M873" s="69">
        <f>IF(A873="","",IFERROR(INDEX(Bestand!$AC$14:$AC$213,MATCH(A873,Bestand!$A$14:$A$213,0)),0))</f>
        <v/>
      </c>
      <c r="N873" s="69">
        <f>IF(OR(H873="",M873&lt;&gt;1),"",C873+ROW()/100000)</f>
        <v/>
      </c>
    </row>
    <row r="874" ht="20" customHeight="1">
      <c r="A874" s="60" t="n"/>
      <c r="B874" s="65">
        <f>IF(A874="","",IFERROR(INDEX(Bestand!$B$14:$B$213,MATCH(A874,Bestand!$A$14:$A$213,0)),"ID unbekannt"))</f>
        <v/>
      </c>
      <c r="C874" s="63" t="n"/>
      <c r="D874" s="62" t="n"/>
      <c r="E874" s="60" t="n"/>
      <c r="F874" s="60" t="n"/>
      <c r="G874" s="61" t="n"/>
      <c r="H874" s="69">
        <f>IF(OR(A874="",C874=""),"",COUNTIFS($A$7:$A$1006,A874,$C$7:$C$1006,"&lt;"&amp;C874)+1)</f>
        <v/>
      </c>
      <c r="I874" s="67">
        <f>IF(H874="","",IF(H874=1,"",C874-_xlfn.MAXIFS($C$7:$C$1006,$A$7:$A$1006,A874,$C$7:$C$1006,"&lt;"&amp;C874)))</f>
        <v/>
      </c>
      <c r="J874" s="68">
        <f>IF(I874="","",I874/TpM)</f>
        <v/>
      </c>
      <c r="K874" s="69">
        <f>IF(H874="","",COUNTIFS($A$7:$A$1006,A874,$C$7:$C$1006,"&gt;0")-H874)</f>
        <v/>
      </c>
      <c r="L874" s="69">
        <f>IF(H874="","",A874&amp;"|"&amp;H874)</f>
        <v/>
      </c>
      <c r="M874" s="69">
        <f>IF(A874="","",IFERROR(INDEX(Bestand!$AC$14:$AC$213,MATCH(A874,Bestand!$A$14:$A$213,0)),0))</f>
        <v/>
      </c>
      <c r="N874" s="69">
        <f>IF(OR(H874="",M874&lt;&gt;1),"",C874+ROW()/100000)</f>
        <v/>
      </c>
    </row>
    <row r="875" ht="20" customHeight="1">
      <c r="A875" s="60" t="n"/>
      <c r="B875" s="65">
        <f>IF(A875="","",IFERROR(INDEX(Bestand!$B$14:$B$213,MATCH(A875,Bestand!$A$14:$A$213,0)),"ID unbekannt"))</f>
        <v/>
      </c>
      <c r="C875" s="63" t="n"/>
      <c r="D875" s="62" t="n"/>
      <c r="E875" s="60" t="n"/>
      <c r="F875" s="60" t="n"/>
      <c r="G875" s="61" t="n"/>
      <c r="H875" s="69">
        <f>IF(OR(A875="",C875=""),"",COUNTIFS($A$7:$A$1006,A875,$C$7:$C$1006,"&lt;"&amp;C875)+1)</f>
        <v/>
      </c>
      <c r="I875" s="67">
        <f>IF(H875="","",IF(H875=1,"",C875-_xlfn.MAXIFS($C$7:$C$1006,$A$7:$A$1006,A875,$C$7:$C$1006,"&lt;"&amp;C875)))</f>
        <v/>
      </c>
      <c r="J875" s="68">
        <f>IF(I875="","",I875/TpM)</f>
        <v/>
      </c>
      <c r="K875" s="69">
        <f>IF(H875="","",COUNTIFS($A$7:$A$1006,A875,$C$7:$C$1006,"&gt;0")-H875)</f>
        <v/>
      </c>
      <c r="L875" s="69">
        <f>IF(H875="","",A875&amp;"|"&amp;H875)</f>
        <v/>
      </c>
      <c r="M875" s="69">
        <f>IF(A875="","",IFERROR(INDEX(Bestand!$AC$14:$AC$213,MATCH(A875,Bestand!$A$14:$A$213,0)),0))</f>
        <v/>
      </c>
      <c r="N875" s="69">
        <f>IF(OR(H875="",M875&lt;&gt;1),"",C875+ROW()/100000)</f>
        <v/>
      </c>
    </row>
    <row r="876" ht="20" customHeight="1">
      <c r="A876" s="60" t="n"/>
      <c r="B876" s="65">
        <f>IF(A876="","",IFERROR(INDEX(Bestand!$B$14:$B$213,MATCH(A876,Bestand!$A$14:$A$213,0)),"ID unbekannt"))</f>
        <v/>
      </c>
      <c r="C876" s="63" t="n"/>
      <c r="D876" s="62" t="n"/>
      <c r="E876" s="60" t="n"/>
      <c r="F876" s="60" t="n"/>
      <c r="G876" s="61" t="n"/>
      <c r="H876" s="69">
        <f>IF(OR(A876="",C876=""),"",COUNTIFS($A$7:$A$1006,A876,$C$7:$C$1006,"&lt;"&amp;C876)+1)</f>
        <v/>
      </c>
      <c r="I876" s="67">
        <f>IF(H876="","",IF(H876=1,"",C876-_xlfn.MAXIFS($C$7:$C$1006,$A$7:$A$1006,A876,$C$7:$C$1006,"&lt;"&amp;C876)))</f>
        <v/>
      </c>
      <c r="J876" s="68">
        <f>IF(I876="","",I876/TpM)</f>
        <v/>
      </c>
      <c r="K876" s="69">
        <f>IF(H876="","",COUNTIFS($A$7:$A$1006,A876,$C$7:$C$1006,"&gt;0")-H876)</f>
        <v/>
      </c>
      <c r="L876" s="69">
        <f>IF(H876="","",A876&amp;"|"&amp;H876)</f>
        <v/>
      </c>
      <c r="M876" s="69">
        <f>IF(A876="","",IFERROR(INDEX(Bestand!$AC$14:$AC$213,MATCH(A876,Bestand!$A$14:$A$213,0)),0))</f>
        <v/>
      </c>
      <c r="N876" s="69">
        <f>IF(OR(H876="",M876&lt;&gt;1),"",C876+ROW()/100000)</f>
        <v/>
      </c>
    </row>
    <row r="877" ht="20" customHeight="1">
      <c r="A877" s="60" t="n"/>
      <c r="B877" s="65">
        <f>IF(A877="","",IFERROR(INDEX(Bestand!$B$14:$B$213,MATCH(A877,Bestand!$A$14:$A$213,0)),"ID unbekannt"))</f>
        <v/>
      </c>
      <c r="C877" s="63" t="n"/>
      <c r="D877" s="62" t="n"/>
      <c r="E877" s="60" t="n"/>
      <c r="F877" s="60" t="n"/>
      <c r="G877" s="61" t="n"/>
      <c r="H877" s="69">
        <f>IF(OR(A877="",C877=""),"",COUNTIFS($A$7:$A$1006,A877,$C$7:$C$1006,"&lt;"&amp;C877)+1)</f>
        <v/>
      </c>
      <c r="I877" s="67">
        <f>IF(H877="","",IF(H877=1,"",C877-_xlfn.MAXIFS($C$7:$C$1006,$A$7:$A$1006,A877,$C$7:$C$1006,"&lt;"&amp;C877)))</f>
        <v/>
      </c>
      <c r="J877" s="68">
        <f>IF(I877="","",I877/TpM)</f>
        <v/>
      </c>
      <c r="K877" s="69">
        <f>IF(H877="","",COUNTIFS($A$7:$A$1006,A877,$C$7:$C$1006,"&gt;0")-H877)</f>
        <v/>
      </c>
      <c r="L877" s="69">
        <f>IF(H877="","",A877&amp;"|"&amp;H877)</f>
        <v/>
      </c>
      <c r="M877" s="69">
        <f>IF(A877="","",IFERROR(INDEX(Bestand!$AC$14:$AC$213,MATCH(A877,Bestand!$A$14:$A$213,0)),0))</f>
        <v/>
      </c>
      <c r="N877" s="69">
        <f>IF(OR(H877="",M877&lt;&gt;1),"",C877+ROW()/100000)</f>
        <v/>
      </c>
    </row>
    <row r="878" ht="20" customHeight="1">
      <c r="A878" s="60" t="n"/>
      <c r="B878" s="65">
        <f>IF(A878="","",IFERROR(INDEX(Bestand!$B$14:$B$213,MATCH(A878,Bestand!$A$14:$A$213,0)),"ID unbekannt"))</f>
        <v/>
      </c>
      <c r="C878" s="63" t="n"/>
      <c r="D878" s="62" t="n"/>
      <c r="E878" s="60" t="n"/>
      <c r="F878" s="60" t="n"/>
      <c r="G878" s="61" t="n"/>
      <c r="H878" s="69">
        <f>IF(OR(A878="",C878=""),"",COUNTIFS($A$7:$A$1006,A878,$C$7:$C$1006,"&lt;"&amp;C878)+1)</f>
        <v/>
      </c>
      <c r="I878" s="67">
        <f>IF(H878="","",IF(H878=1,"",C878-_xlfn.MAXIFS($C$7:$C$1006,$A$7:$A$1006,A878,$C$7:$C$1006,"&lt;"&amp;C878)))</f>
        <v/>
      </c>
      <c r="J878" s="68">
        <f>IF(I878="","",I878/TpM)</f>
        <v/>
      </c>
      <c r="K878" s="69">
        <f>IF(H878="","",COUNTIFS($A$7:$A$1006,A878,$C$7:$C$1006,"&gt;0")-H878)</f>
        <v/>
      </c>
      <c r="L878" s="69">
        <f>IF(H878="","",A878&amp;"|"&amp;H878)</f>
        <v/>
      </c>
      <c r="M878" s="69">
        <f>IF(A878="","",IFERROR(INDEX(Bestand!$AC$14:$AC$213,MATCH(A878,Bestand!$A$14:$A$213,0)),0))</f>
        <v/>
      </c>
      <c r="N878" s="69">
        <f>IF(OR(H878="",M878&lt;&gt;1),"",C878+ROW()/100000)</f>
        <v/>
      </c>
    </row>
    <row r="879" ht="20" customHeight="1">
      <c r="A879" s="60" t="n"/>
      <c r="B879" s="65">
        <f>IF(A879="","",IFERROR(INDEX(Bestand!$B$14:$B$213,MATCH(A879,Bestand!$A$14:$A$213,0)),"ID unbekannt"))</f>
        <v/>
      </c>
      <c r="C879" s="63" t="n"/>
      <c r="D879" s="62" t="n"/>
      <c r="E879" s="60" t="n"/>
      <c r="F879" s="60" t="n"/>
      <c r="G879" s="61" t="n"/>
      <c r="H879" s="69">
        <f>IF(OR(A879="",C879=""),"",COUNTIFS($A$7:$A$1006,A879,$C$7:$C$1006,"&lt;"&amp;C879)+1)</f>
        <v/>
      </c>
      <c r="I879" s="67">
        <f>IF(H879="","",IF(H879=1,"",C879-_xlfn.MAXIFS($C$7:$C$1006,$A$7:$A$1006,A879,$C$7:$C$1006,"&lt;"&amp;C879)))</f>
        <v/>
      </c>
      <c r="J879" s="68">
        <f>IF(I879="","",I879/TpM)</f>
        <v/>
      </c>
      <c r="K879" s="69">
        <f>IF(H879="","",COUNTIFS($A$7:$A$1006,A879,$C$7:$C$1006,"&gt;0")-H879)</f>
        <v/>
      </c>
      <c r="L879" s="69">
        <f>IF(H879="","",A879&amp;"|"&amp;H879)</f>
        <v/>
      </c>
      <c r="M879" s="69">
        <f>IF(A879="","",IFERROR(INDEX(Bestand!$AC$14:$AC$213,MATCH(A879,Bestand!$A$14:$A$213,0)),0))</f>
        <v/>
      </c>
      <c r="N879" s="69">
        <f>IF(OR(H879="",M879&lt;&gt;1),"",C879+ROW()/100000)</f>
        <v/>
      </c>
    </row>
    <row r="880" ht="20" customHeight="1">
      <c r="A880" s="60" t="n"/>
      <c r="B880" s="65">
        <f>IF(A880="","",IFERROR(INDEX(Bestand!$B$14:$B$213,MATCH(A880,Bestand!$A$14:$A$213,0)),"ID unbekannt"))</f>
        <v/>
      </c>
      <c r="C880" s="63" t="n"/>
      <c r="D880" s="62" t="n"/>
      <c r="E880" s="60" t="n"/>
      <c r="F880" s="60" t="n"/>
      <c r="G880" s="61" t="n"/>
      <c r="H880" s="69">
        <f>IF(OR(A880="",C880=""),"",COUNTIFS($A$7:$A$1006,A880,$C$7:$C$1006,"&lt;"&amp;C880)+1)</f>
        <v/>
      </c>
      <c r="I880" s="67">
        <f>IF(H880="","",IF(H880=1,"",C880-_xlfn.MAXIFS($C$7:$C$1006,$A$7:$A$1006,A880,$C$7:$C$1006,"&lt;"&amp;C880)))</f>
        <v/>
      </c>
      <c r="J880" s="68">
        <f>IF(I880="","",I880/TpM)</f>
        <v/>
      </c>
      <c r="K880" s="69">
        <f>IF(H880="","",COUNTIFS($A$7:$A$1006,A880,$C$7:$C$1006,"&gt;0")-H880)</f>
        <v/>
      </c>
      <c r="L880" s="69">
        <f>IF(H880="","",A880&amp;"|"&amp;H880)</f>
        <v/>
      </c>
      <c r="M880" s="69">
        <f>IF(A880="","",IFERROR(INDEX(Bestand!$AC$14:$AC$213,MATCH(A880,Bestand!$A$14:$A$213,0)),0))</f>
        <v/>
      </c>
      <c r="N880" s="69">
        <f>IF(OR(H880="",M880&lt;&gt;1),"",C880+ROW()/100000)</f>
        <v/>
      </c>
    </row>
    <row r="881" ht="20" customHeight="1">
      <c r="A881" s="60" t="n"/>
      <c r="B881" s="65">
        <f>IF(A881="","",IFERROR(INDEX(Bestand!$B$14:$B$213,MATCH(A881,Bestand!$A$14:$A$213,0)),"ID unbekannt"))</f>
        <v/>
      </c>
      <c r="C881" s="63" t="n"/>
      <c r="D881" s="62" t="n"/>
      <c r="E881" s="60" t="n"/>
      <c r="F881" s="60" t="n"/>
      <c r="G881" s="61" t="n"/>
      <c r="H881" s="69">
        <f>IF(OR(A881="",C881=""),"",COUNTIFS($A$7:$A$1006,A881,$C$7:$C$1006,"&lt;"&amp;C881)+1)</f>
        <v/>
      </c>
      <c r="I881" s="67">
        <f>IF(H881="","",IF(H881=1,"",C881-_xlfn.MAXIFS($C$7:$C$1006,$A$7:$A$1006,A881,$C$7:$C$1006,"&lt;"&amp;C881)))</f>
        <v/>
      </c>
      <c r="J881" s="68">
        <f>IF(I881="","",I881/TpM)</f>
        <v/>
      </c>
      <c r="K881" s="69">
        <f>IF(H881="","",COUNTIFS($A$7:$A$1006,A881,$C$7:$C$1006,"&gt;0")-H881)</f>
        <v/>
      </c>
      <c r="L881" s="69">
        <f>IF(H881="","",A881&amp;"|"&amp;H881)</f>
        <v/>
      </c>
      <c r="M881" s="69">
        <f>IF(A881="","",IFERROR(INDEX(Bestand!$AC$14:$AC$213,MATCH(A881,Bestand!$A$14:$A$213,0)),0))</f>
        <v/>
      </c>
      <c r="N881" s="69">
        <f>IF(OR(H881="",M881&lt;&gt;1),"",C881+ROW()/100000)</f>
        <v/>
      </c>
    </row>
    <row r="882" ht="20" customHeight="1">
      <c r="A882" s="60" t="n"/>
      <c r="B882" s="65">
        <f>IF(A882="","",IFERROR(INDEX(Bestand!$B$14:$B$213,MATCH(A882,Bestand!$A$14:$A$213,0)),"ID unbekannt"))</f>
        <v/>
      </c>
      <c r="C882" s="63" t="n"/>
      <c r="D882" s="62" t="n"/>
      <c r="E882" s="60" t="n"/>
      <c r="F882" s="60" t="n"/>
      <c r="G882" s="61" t="n"/>
      <c r="H882" s="69">
        <f>IF(OR(A882="",C882=""),"",COUNTIFS($A$7:$A$1006,A882,$C$7:$C$1006,"&lt;"&amp;C882)+1)</f>
        <v/>
      </c>
      <c r="I882" s="67">
        <f>IF(H882="","",IF(H882=1,"",C882-_xlfn.MAXIFS($C$7:$C$1006,$A$7:$A$1006,A882,$C$7:$C$1006,"&lt;"&amp;C882)))</f>
        <v/>
      </c>
      <c r="J882" s="68">
        <f>IF(I882="","",I882/TpM)</f>
        <v/>
      </c>
      <c r="K882" s="69">
        <f>IF(H882="","",COUNTIFS($A$7:$A$1006,A882,$C$7:$C$1006,"&gt;0")-H882)</f>
        <v/>
      </c>
      <c r="L882" s="69">
        <f>IF(H882="","",A882&amp;"|"&amp;H882)</f>
        <v/>
      </c>
      <c r="M882" s="69">
        <f>IF(A882="","",IFERROR(INDEX(Bestand!$AC$14:$AC$213,MATCH(A882,Bestand!$A$14:$A$213,0)),0))</f>
        <v/>
      </c>
      <c r="N882" s="69">
        <f>IF(OR(H882="",M882&lt;&gt;1),"",C882+ROW()/100000)</f>
        <v/>
      </c>
    </row>
    <row r="883" ht="20" customHeight="1">
      <c r="A883" s="60" t="n"/>
      <c r="B883" s="65">
        <f>IF(A883="","",IFERROR(INDEX(Bestand!$B$14:$B$213,MATCH(A883,Bestand!$A$14:$A$213,0)),"ID unbekannt"))</f>
        <v/>
      </c>
      <c r="C883" s="63" t="n"/>
      <c r="D883" s="62" t="n"/>
      <c r="E883" s="60" t="n"/>
      <c r="F883" s="60" t="n"/>
      <c r="G883" s="61" t="n"/>
      <c r="H883" s="69">
        <f>IF(OR(A883="",C883=""),"",COUNTIFS($A$7:$A$1006,A883,$C$7:$C$1006,"&lt;"&amp;C883)+1)</f>
        <v/>
      </c>
      <c r="I883" s="67">
        <f>IF(H883="","",IF(H883=1,"",C883-_xlfn.MAXIFS($C$7:$C$1006,$A$7:$A$1006,A883,$C$7:$C$1006,"&lt;"&amp;C883)))</f>
        <v/>
      </c>
      <c r="J883" s="68">
        <f>IF(I883="","",I883/TpM)</f>
        <v/>
      </c>
      <c r="K883" s="69">
        <f>IF(H883="","",COUNTIFS($A$7:$A$1006,A883,$C$7:$C$1006,"&gt;0")-H883)</f>
        <v/>
      </c>
      <c r="L883" s="69">
        <f>IF(H883="","",A883&amp;"|"&amp;H883)</f>
        <v/>
      </c>
      <c r="M883" s="69">
        <f>IF(A883="","",IFERROR(INDEX(Bestand!$AC$14:$AC$213,MATCH(A883,Bestand!$A$14:$A$213,0)),0))</f>
        <v/>
      </c>
      <c r="N883" s="69">
        <f>IF(OR(H883="",M883&lt;&gt;1),"",C883+ROW()/100000)</f>
        <v/>
      </c>
    </row>
    <row r="884" ht="20" customHeight="1">
      <c r="A884" s="60" t="n"/>
      <c r="B884" s="65">
        <f>IF(A884="","",IFERROR(INDEX(Bestand!$B$14:$B$213,MATCH(A884,Bestand!$A$14:$A$213,0)),"ID unbekannt"))</f>
        <v/>
      </c>
      <c r="C884" s="63" t="n"/>
      <c r="D884" s="62" t="n"/>
      <c r="E884" s="60" t="n"/>
      <c r="F884" s="60" t="n"/>
      <c r="G884" s="61" t="n"/>
      <c r="H884" s="69">
        <f>IF(OR(A884="",C884=""),"",COUNTIFS($A$7:$A$1006,A884,$C$7:$C$1006,"&lt;"&amp;C884)+1)</f>
        <v/>
      </c>
      <c r="I884" s="67">
        <f>IF(H884="","",IF(H884=1,"",C884-_xlfn.MAXIFS($C$7:$C$1006,$A$7:$A$1006,A884,$C$7:$C$1006,"&lt;"&amp;C884)))</f>
        <v/>
      </c>
      <c r="J884" s="68">
        <f>IF(I884="","",I884/TpM)</f>
        <v/>
      </c>
      <c r="K884" s="69">
        <f>IF(H884="","",COUNTIFS($A$7:$A$1006,A884,$C$7:$C$1006,"&gt;0")-H884)</f>
        <v/>
      </c>
      <c r="L884" s="69">
        <f>IF(H884="","",A884&amp;"|"&amp;H884)</f>
        <v/>
      </c>
      <c r="M884" s="69">
        <f>IF(A884="","",IFERROR(INDEX(Bestand!$AC$14:$AC$213,MATCH(A884,Bestand!$A$14:$A$213,0)),0))</f>
        <v/>
      </c>
      <c r="N884" s="69">
        <f>IF(OR(H884="",M884&lt;&gt;1),"",C884+ROW()/100000)</f>
        <v/>
      </c>
    </row>
    <row r="885" ht="20" customHeight="1">
      <c r="A885" s="60" t="n"/>
      <c r="B885" s="65">
        <f>IF(A885="","",IFERROR(INDEX(Bestand!$B$14:$B$213,MATCH(A885,Bestand!$A$14:$A$213,0)),"ID unbekannt"))</f>
        <v/>
      </c>
      <c r="C885" s="63" t="n"/>
      <c r="D885" s="62" t="n"/>
      <c r="E885" s="60" t="n"/>
      <c r="F885" s="60" t="n"/>
      <c r="G885" s="61" t="n"/>
      <c r="H885" s="69">
        <f>IF(OR(A885="",C885=""),"",COUNTIFS($A$7:$A$1006,A885,$C$7:$C$1006,"&lt;"&amp;C885)+1)</f>
        <v/>
      </c>
      <c r="I885" s="67">
        <f>IF(H885="","",IF(H885=1,"",C885-_xlfn.MAXIFS($C$7:$C$1006,$A$7:$A$1006,A885,$C$7:$C$1006,"&lt;"&amp;C885)))</f>
        <v/>
      </c>
      <c r="J885" s="68">
        <f>IF(I885="","",I885/TpM)</f>
        <v/>
      </c>
      <c r="K885" s="69">
        <f>IF(H885="","",COUNTIFS($A$7:$A$1006,A885,$C$7:$C$1006,"&gt;0")-H885)</f>
        <v/>
      </c>
      <c r="L885" s="69">
        <f>IF(H885="","",A885&amp;"|"&amp;H885)</f>
        <v/>
      </c>
      <c r="M885" s="69">
        <f>IF(A885="","",IFERROR(INDEX(Bestand!$AC$14:$AC$213,MATCH(A885,Bestand!$A$14:$A$213,0)),0))</f>
        <v/>
      </c>
      <c r="N885" s="69">
        <f>IF(OR(H885="",M885&lt;&gt;1),"",C885+ROW()/100000)</f>
        <v/>
      </c>
    </row>
    <row r="886" ht="20" customHeight="1">
      <c r="A886" s="60" t="n"/>
      <c r="B886" s="65">
        <f>IF(A886="","",IFERROR(INDEX(Bestand!$B$14:$B$213,MATCH(A886,Bestand!$A$14:$A$213,0)),"ID unbekannt"))</f>
        <v/>
      </c>
      <c r="C886" s="63" t="n"/>
      <c r="D886" s="62" t="n"/>
      <c r="E886" s="60" t="n"/>
      <c r="F886" s="60" t="n"/>
      <c r="G886" s="61" t="n"/>
      <c r="H886" s="69">
        <f>IF(OR(A886="",C886=""),"",COUNTIFS($A$7:$A$1006,A886,$C$7:$C$1006,"&lt;"&amp;C886)+1)</f>
        <v/>
      </c>
      <c r="I886" s="67">
        <f>IF(H886="","",IF(H886=1,"",C886-_xlfn.MAXIFS($C$7:$C$1006,$A$7:$A$1006,A886,$C$7:$C$1006,"&lt;"&amp;C886)))</f>
        <v/>
      </c>
      <c r="J886" s="68">
        <f>IF(I886="","",I886/TpM)</f>
        <v/>
      </c>
      <c r="K886" s="69">
        <f>IF(H886="","",COUNTIFS($A$7:$A$1006,A886,$C$7:$C$1006,"&gt;0")-H886)</f>
        <v/>
      </c>
      <c r="L886" s="69">
        <f>IF(H886="","",A886&amp;"|"&amp;H886)</f>
        <v/>
      </c>
      <c r="M886" s="69">
        <f>IF(A886="","",IFERROR(INDEX(Bestand!$AC$14:$AC$213,MATCH(A886,Bestand!$A$14:$A$213,0)),0))</f>
        <v/>
      </c>
      <c r="N886" s="69">
        <f>IF(OR(H886="",M886&lt;&gt;1),"",C886+ROW()/100000)</f>
        <v/>
      </c>
    </row>
    <row r="887" ht="20" customHeight="1">
      <c r="A887" s="60" t="n"/>
      <c r="B887" s="65">
        <f>IF(A887="","",IFERROR(INDEX(Bestand!$B$14:$B$213,MATCH(A887,Bestand!$A$14:$A$213,0)),"ID unbekannt"))</f>
        <v/>
      </c>
      <c r="C887" s="63" t="n"/>
      <c r="D887" s="62" t="n"/>
      <c r="E887" s="60" t="n"/>
      <c r="F887" s="60" t="n"/>
      <c r="G887" s="61" t="n"/>
      <c r="H887" s="69">
        <f>IF(OR(A887="",C887=""),"",COUNTIFS($A$7:$A$1006,A887,$C$7:$C$1006,"&lt;"&amp;C887)+1)</f>
        <v/>
      </c>
      <c r="I887" s="67">
        <f>IF(H887="","",IF(H887=1,"",C887-_xlfn.MAXIFS($C$7:$C$1006,$A$7:$A$1006,A887,$C$7:$C$1006,"&lt;"&amp;C887)))</f>
        <v/>
      </c>
      <c r="J887" s="68">
        <f>IF(I887="","",I887/TpM)</f>
        <v/>
      </c>
      <c r="K887" s="69">
        <f>IF(H887="","",COUNTIFS($A$7:$A$1006,A887,$C$7:$C$1006,"&gt;0")-H887)</f>
        <v/>
      </c>
      <c r="L887" s="69">
        <f>IF(H887="","",A887&amp;"|"&amp;H887)</f>
        <v/>
      </c>
      <c r="M887" s="69">
        <f>IF(A887="","",IFERROR(INDEX(Bestand!$AC$14:$AC$213,MATCH(A887,Bestand!$A$14:$A$213,0)),0))</f>
        <v/>
      </c>
      <c r="N887" s="69">
        <f>IF(OR(H887="",M887&lt;&gt;1),"",C887+ROW()/100000)</f>
        <v/>
      </c>
    </row>
    <row r="888" ht="20" customHeight="1">
      <c r="A888" s="60" t="n"/>
      <c r="B888" s="65">
        <f>IF(A888="","",IFERROR(INDEX(Bestand!$B$14:$B$213,MATCH(A888,Bestand!$A$14:$A$213,0)),"ID unbekannt"))</f>
        <v/>
      </c>
      <c r="C888" s="63" t="n"/>
      <c r="D888" s="62" t="n"/>
      <c r="E888" s="60" t="n"/>
      <c r="F888" s="60" t="n"/>
      <c r="G888" s="61" t="n"/>
      <c r="H888" s="69">
        <f>IF(OR(A888="",C888=""),"",COUNTIFS($A$7:$A$1006,A888,$C$7:$C$1006,"&lt;"&amp;C888)+1)</f>
        <v/>
      </c>
      <c r="I888" s="67">
        <f>IF(H888="","",IF(H888=1,"",C888-_xlfn.MAXIFS($C$7:$C$1006,$A$7:$A$1006,A888,$C$7:$C$1006,"&lt;"&amp;C888)))</f>
        <v/>
      </c>
      <c r="J888" s="68">
        <f>IF(I888="","",I888/TpM)</f>
        <v/>
      </c>
      <c r="K888" s="69">
        <f>IF(H888="","",COUNTIFS($A$7:$A$1006,A888,$C$7:$C$1006,"&gt;0")-H888)</f>
        <v/>
      </c>
      <c r="L888" s="69">
        <f>IF(H888="","",A888&amp;"|"&amp;H888)</f>
        <v/>
      </c>
      <c r="M888" s="69">
        <f>IF(A888="","",IFERROR(INDEX(Bestand!$AC$14:$AC$213,MATCH(A888,Bestand!$A$14:$A$213,0)),0))</f>
        <v/>
      </c>
      <c r="N888" s="69">
        <f>IF(OR(H888="",M888&lt;&gt;1),"",C888+ROW()/100000)</f>
        <v/>
      </c>
    </row>
    <row r="889" ht="20" customHeight="1">
      <c r="A889" s="60" t="n"/>
      <c r="B889" s="65">
        <f>IF(A889="","",IFERROR(INDEX(Bestand!$B$14:$B$213,MATCH(A889,Bestand!$A$14:$A$213,0)),"ID unbekannt"))</f>
        <v/>
      </c>
      <c r="C889" s="63" t="n"/>
      <c r="D889" s="62" t="n"/>
      <c r="E889" s="60" t="n"/>
      <c r="F889" s="60" t="n"/>
      <c r="G889" s="61" t="n"/>
      <c r="H889" s="69">
        <f>IF(OR(A889="",C889=""),"",COUNTIFS($A$7:$A$1006,A889,$C$7:$C$1006,"&lt;"&amp;C889)+1)</f>
        <v/>
      </c>
      <c r="I889" s="67">
        <f>IF(H889="","",IF(H889=1,"",C889-_xlfn.MAXIFS($C$7:$C$1006,$A$7:$A$1006,A889,$C$7:$C$1006,"&lt;"&amp;C889)))</f>
        <v/>
      </c>
      <c r="J889" s="68">
        <f>IF(I889="","",I889/TpM)</f>
        <v/>
      </c>
      <c r="K889" s="69">
        <f>IF(H889="","",COUNTIFS($A$7:$A$1006,A889,$C$7:$C$1006,"&gt;0")-H889)</f>
        <v/>
      </c>
      <c r="L889" s="69">
        <f>IF(H889="","",A889&amp;"|"&amp;H889)</f>
        <v/>
      </c>
      <c r="M889" s="69">
        <f>IF(A889="","",IFERROR(INDEX(Bestand!$AC$14:$AC$213,MATCH(A889,Bestand!$A$14:$A$213,0)),0))</f>
        <v/>
      </c>
      <c r="N889" s="69">
        <f>IF(OR(H889="",M889&lt;&gt;1),"",C889+ROW()/100000)</f>
        <v/>
      </c>
    </row>
    <row r="890" ht="20" customHeight="1">
      <c r="A890" s="60" t="n"/>
      <c r="B890" s="65">
        <f>IF(A890="","",IFERROR(INDEX(Bestand!$B$14:$B$213,MATCH(A890,Bestand!$A$14:$A$213,0)),"ID unbekannt"))</f>
        <v/>
      </c>
      <c r="C890" s="63" t="n"/>
      <c r="D890" s="62" t="n"/>
      <c r="E890" s="60" t="n"/>
      <c r="F890" s="60" t="n"/>
      <c r="G890" s="61" t="n"/>
      <c r="H890" s="69">
        <f>IF(OR(A890="",C890=""),"",COUNTIFS($A$7:$A$1006,A890,$C$7:$C$1006,"&lt;"&amp;C890)+1)</f>
        <v/>
      </c>
      <c r="I890" s="67">
        <f>IF(H890="","",IF(H890=1,"",C890-_xlfn.MAXIFS($C$7:$C$1006,$A$7:$A$1006,A890,$C$7:$C$1006,"&lt;"&amp;C890)))</f>
        <v/>
      </c>
      <c r="J890" s="68">
        <f>IF(I890="","",I890/TpM)</f>
        <v/>
      </c>
      <c r="K890" s="69">
        <f>IF(H890="","",COUNTIFS($A$7:$A$1006,A890,$C$7:$C$1006,"&gt;0")-H890)</f>
        <v/>
      </c>
      <c r="L890" s="69">
        <f>IF(H890="","",A890&amp;"|"&amp;H890)</f>
        <v/>
      </c>
      <c r="M890" s="69">
        <f>IF(A890="","",IFERROR(INDEX(Bestand!$AC$14:$AC$213,MATCH(A890,Bestand!$A$14:$A$213,0)),0))</f>
        <v/>
      </c>
      <c r="N890" s="69">
        <f>IF(OR(H890="",M890&lt;&gt;1),"",C890+ROW()/100000)</f>
        <v/>
      </c>
    </row>
    <row r="891" ht="20" customHeight="1">
      <c r="A891" s="60" t="n"/>
      <c r="B891" s="65">
        <f>IF(A891="","",IFERROR(INDEX(Bestand!$B$14:$B$213,MATCH(A891,Bestand!$A$14:$A$213,0)),"ID unbekannt"))</f>
        <v/>
      </c>
      <c r="C891" s="63" t="n"/>
      <c r="D891" s="62" t="n"/>
      <c r="E891" s="60" t="n"/>
      <c r="F891" s="60" t="n"/>
      <c r="G891" s="61" t="n"/>
      <c r="H891" s="69">
        <f>IF(OR(A891="",C891=""),"",COUNTIFS($A$7:$A$1006,A891,$C$7:$C$1006,"&lt;"&amp;C891)+1)</f>
        <v/>
      </c>
      <c r="I891" s="67">
        <f>IF(H891="","",IF(H891=1,"",C891-_xlfn.MAXIFS($C$7:$C$1006,$A$7:$A$1006,A891,$C$7:$C$1006,"&lt;"&amp;C891)))</f>
        <v/>
      </c>
      <c r="J891" s="68">
        <f>IF(I891="","",I891/TpM)</f>
        <v/>
      </c>
      <c r="K891" s="69">
        <f>IF(H891="","",COUNTIFS($A$7:$A$1006,A891,$C$7:$C$1006,"&gt;0")-H891)</f>
        <v/>
      </c>
      <c r="L891" s="69">
        <f>IF(H891="","",A891&amp;"|"&amp;H891)</f>
        <v/>
      </c>
      <c r="M891" s="69">
        <f>IF(A891="","",IFERROR(INDEX(Bestand!$AC$14:$AC$213,MATCH(A891,Bestand!$A$14:$A$213,0)),0))</f>
        <v/>
      </c>
      <c r="N891" s="69">
        <f>IF(OR(H891="",M891&lt;&gt;1),"",C891+ROW()/100000)</f>
        <v/>
      </c>
    </row>
    <row r="892" ht="20" customHeight="1">
      <c r="A892" s="60" t="n"/>
      <c r="B892" s="65">
        <f>IF(A892="","",IFERROR(INDEX(Bestand!$B$14:$B$213,MATCH(A892,Bestand!$A$14:$A$213,0)),"ID unbekannt"))</f>
        <v/>
      </c>
      <c r="C892" s="63" t="n"/>
      <c r="D892" s="62" t="n"/>
      <c r="E892" s="60" t="n"/>
      <c r="F892" s="60" t="n"/>
      <c r="G892" s="61" t="n"/>
      <c r="H892" s="69">
        <f>IF(OR(A892="",C892=""),"",COUNTIFS($A$7:$A$1006,A892,$C$7:$C$1006,"&lt;"&amp;C892)+1)</f>
        <v/>
      </c>
      <c r="I892" s="67">
        <f>IF(H892="","",IF(H892=1,"",C892-_xlfn.MAXIFS($C$7:$C$1006,$A$7:$A$1006,A892,$C$7:$C$1006,"&lt;"&amp;C892)))</f>
        <v/>
      </c>
      <c r="J892" s="68">
        <f>IF(I892="","",I892/TpM)</f>
        <v/>
      </c>
      <c r="K892" s="69">
        <f>IF(H892="","",COUNTIFS($A$7:$A$1006,A892,$C$7:$C$1006,"&gt;0")-H892)</f>
        <v/>
      </c>
      <c r="L892" s="69">
        <f>IF(H892="","",A892&amp;"|"&amp;H892)</f>
        <v/>
      </c>
      <c r="M892" s="69">
        <f>IF(A892="","",IFERROR(INDEX(Bestand!$AC$14:$AC$213,MATCH(A892,Bestand!$A$14:$A$213,0)),0))</f>
        <v/>
      </c>
      <c r="N892" s="69">
        <f>IF(OR(H892="",M892&lt;&gt;1),"",C892+ROW()/100000)</f>
        <v/>
      </c>
    </row>
    <row r="893" ht="20" customHeight="1">
      <c r="A893" s="60" t="n"/>
      <c r="B893" s="65">
        <f>IF(A893="","",IFERROR(INDEX(Bestand!$B$14:$B$213,MATCH(A893,Bestand!$A$14:$A$213,0)),"ID unbekannt"))</f>
        <v/>
      </c>
      <c r="C893" s="63" t="n"/>
      <c r="D893" s="62" t="n"/>
      <c r="E893" s="60" t="n"/>
      <c r="F893" s="60" t="n"/>
      <c r="G893" s="61" t="n"/>
      <c r="H893" s="69">
        <f>IF(OR(A893="",C893=""),"",COUNTIFS($A$7:$A$1006,A893,$C$7:$C$1006,"&lt;"&amp;C893)+1)</f>
        <v/>
      </c>
      <c r="I893" s="67">
        <f>IF(H893="","",IF(H893=1,"",C893-_xlfn.MAXIFS($C$7:$C$1006,$A$7:$A$1006,A893,$C$7:$C$1006,"&lt;"&amp;C893)))</f>
        <v/>
      </c>
      <c r="J893" s="68">
        <f>IF(I893="","",I893/TpM)</f>
        <v/>
      </c>
      <c r="K893" s="69">
        <f>IF(H893="","",COUNTIFS($A$7:$A$1006,A893,$C$7:$C$1006,"&gt;0")-H893)</f>
        <v/>
      </c>
      <c r="L893" s="69">
        <f>IF(H893="","",A893&amp;"|"&amp;H893)</f>
        <v/>
      </c>
      <c r="M893" s="69">
        <f>IF(A893="","",IFERROR(INDEX(Bestand!$AC$14:$AC$213,MATCH(A893,Bestand!$A$14:$A$213,0)),0))</f>
        <v/>
      </c>
      <c r="N893" s="69">
        <f>IF(OR(H893="",M893&lt;&gt;1),"",C893+ROW()/100000)</f>
        <v/>
      </c>
    </row>
    <row r="894" ht="20" customHeight="1">
      <c r="A894" s="60" t="n"/>
      <c r="B894" s="65">
        <f>IF(A894="","",IFERROR(INDEX(Bestand!$B$14:$B$213,MATCH(A894,Bestand!$A$14:$A$213,0)),"ID unbekannt"))</f>
        <v/>
      </c>
      <c r="C894" s="63" t="n"/>
      <c r="D894" s="62" t="n"/>
      <c r="E894" s="60" t="n"/>
      <c r="F894" s="60" t="n"/>
      <c r="G894" s="61" t="n"/>
      <c r="H894" s="69">
        <f>IF(OR(A894="",C894=""),"",COUNTIFS($A$7:$A$1006,A894,$C$7:$C$1006,"&lt;"&amp;C894)+1)</f>
        <v/>
      </c>
      <c r="I894" s="67">
        <f>IF(H894="","",IF(H894=1,"",C894-_xlfn.MAXIFS($C$7:$C$1006,$A$7:$A$1006,A894,$C$7:$C$1006,"&lt;"&amp;C894)))</f>
        <v/>
      </c>
      <c r="J894" s="68">
        <f>IF(I894="","",I894/TpM)</f>
        <v/>
      </c>
      <c r="K894" s="69">
        <f>IF(H894="","",COUNTIFS($A$7:$A$1006,A894,$C$7:$C$1006,"&gt;0")-H894)</f>
        <v/>
      </c>
      <c r="L894" s="69">
        <f>IF(H894="","",A894&amp;"|"&amp;H894)</f>
        <v/>
      </c>
      <c r="M894" s="69">
        <f>IF(A894="","",IFERROR(INDEX(Bestand!$AC$14:$AC$213,MATCH(A894,Bestand!$A$14:$A$213,0)),0))</f>
        <v/>
      </c>
      <c r="N894" s="69">
        <f>IF(OR(H894="",M894&lt;&gt;1),"",C894+ROW()/100000)</f>
        <v/>
      </c>
    </row>
    <row r="895" ht="20" customHeight="1">
      <c r="A895" s="60" t="n"/>
      <c r="B895" s="65">
        <f>IF(A895="","",IFERROR(INDEX(Bestand!$B$14:$B$213,MATCH(A895,Bestand!$A$14:$A$213,0)),"ID unbekannt"))</f>
        <v/>
      </c>
      <c r="C895" s="63" t="n"/>
      <c r="D895" s="62" t="n"/>
      <c r="E895" s="60" t="n"/>
      <c r="F895" s="60" t="n"/>
      <c r="G895" s="61" t="n"/>
      <c r="H895" s="69">
        <f>IF(OR(A895="",C895=""),"",COUNTIFS($A$7:$A$1006,A895,$C$7:$C$1006,"&lt;"&amp;C895)+1)</f>
        <v/>
      </c>
      <c r="I895" s="67">
        <f>IF(H895="","",IF(H895=1,"",C895-_xlfn.MAXIFS($C$7:$C$1006,$A$7:$A$1006,A895,$C$7:$C$1006,"&lt;"&amp;C895)))</f>
        <v/>
      </c>
      <c r="J895" s="68">
        <f>IF(I895="","",I895/TpM)</f>
        <v/>
      </c>
      <c r="K895" s="69">
        <f>IF(H895="","",COUNTIFS($A$7:$A$1006,A895,$C$7:$C$1006,"&gt;0")-H895)</f>
        <v/>
      </c>
      <c r="L895" s="69">
        <f>IF(H895="","",A895&amp;"|"&amp;H895)</f>
        <v/>
      </c>
      <c r="M895" s="69">
        <f>IF(A895="","",IFERROR(INDEX(Bestand!$AC$14:$AC$213,MATCH(A895,Bestand!$A$14:$A$213,0)),0))</f>
        <v/>
      </c>
      <c r="N895" s="69">
        <f>IF(OR(H895="",M895&lt;&gt;1),"",C895+ROW()/100000)</f>
        <v/>
      </c>
    </row>
    <row r="896" ht="20" customHeight="1">
      <c r="A896" s="60" t="n"/>
      <c r="B896" s="65">
        <f>IF(A896="","",IFERROR(INDEX(Bestand!$B$14:$B$213,MATCH(A896,Bestand!$A$14:$A$213,0)),"ID unbekannt"))</f>
        <v/>
      </c>
      <c r="C896" s="63" t="n"/>
      <c r="D896" s="62" t="n"/>
      <c r="E896" s="60" t="n"/>
      <c r="F896" s="60" t="n"/>
      <c r="G896" s="61" t="n"/>
      <c r="H896" s="69">
        <f>IF(OR(A896="",C896=""),"",COUNTIFS($A$7:$A$1006,A896,$C$7:$C$1006,"&lt;"&amp;C896)+1)</f>
        <v/>
      </c>
      <c r="I896" s="67">
        <f>IF(H896="","",IF(H896=1,"",C896-_xlfn.MAXIFS($C$7:$C$1006,$A$7:$A$1006,A896,$C$7:$C$1006,"&lt;"&amp;C896)))</f>
        <v/>
      </c>
      <c r="J896" s="68">
        <f>IF(I896="","",I896/TpM)</f>
        <v/>
      </c>
      <c r="K896" s="69">
        <f>IF(H896="","",COUNTIFS($A$7:$A$1006,A896,$C$7:$C$1006,"&gt;0")-H896)</f>
        <v/>
      </c>
      <c r="L896" s="69">
        <f>IF(H896="","",A896&amp;"|"&amp;H896)</f>
        <v/>
      </c>
      <c r="M896" s="69">
        <f>IF(A896="","",IFERROR(INDEX(Bestand!$AC$14:$AC$213,MATCH(A896,Bestand!$A$14:$A$213,0)),0))</f>
        <v/>
      </c>
      <c r="N896" s="69">
        <f>IF(OR(H896="",M896&lt;&gt;1),"",C896+ROW()/100000)</f>
        <v/>
      </c>
    </row>
    <row r="897" ht="20" customHeight="1">
      <c r="A897" s="60" t="n"/>
      <c r="B897" s="65">
        <f>IF(A897="","",IFERROR(INDEX(Bestand!$B$14:$B$213,MATCH(A897,Bestand!$A$14:$A$213,0)),"ID unbekannt"))</f>
        <v/>
      </c>
      <c r="C897" s="63" t="n"/>
      <c r="D897" s="62" t="n"/>
      <c r="E897" s="60" t="n"/>
      <c r="F897" s="60" t="n"/>
      <c r="G897" s="61" t="n"/>
      <c r="H897" s="69">
        <f>IF(OR(A897="",C897=""),"",COUNTIFS($A$7:$A$1006,A897,$C$7:$C$1006,"&lt;"&amp;C897)+1)</f>
        <v/>
      </c>
      <c r="I897" s="67">
        <f>IF(H897="","",IF(H897=1,"",C897-_xlfn.MAXIFS($C$7:$C$1006,$A$7:$A$1006,A897,$C$7:$C$1006,"&lt;"&amp;C897)))</f>
        <v/>
      </c>
      <c r="J897" s="68">
        <f>IF(I897="","",I897/TpM)</f>
        <v/>
      </c>
      <c r="K897" s="69">
        <f>IF(H897="","",COUNTIFS($A$7:$A$1006,A897,$C$7:$C$1006,"&gt;0")-H897)</f>
        <v/>
      </c>
      <c r="L897" s="69">
        <f>IF(H897="","",A897&amp;"|"&amp;H897)</f>
        <v/>
      </c>
      <c r="M897" s="69">
        <f>IF(A897="","",IFERROR(INDEX(Bestand!$AC$14:$AC$213,MATCH(A897,Bestand!$A$14:$A$213,0)),0))</f>
        <v/>
      </c>
      <c r="N897" s="69">
        <f>IF(OR(H897="",M897&lt;&gt;1),"",C897+ROW()/100000)</f>
        <v/>
      </c>
    </row>
    <row r="898" ht="20" customHeight="1">
      <c r="A898" s="60" t="n"/>
      <c r="B898" s="65">
        <f>IF(A898="","",IFERROR(INDEX(Bestand!$B$14:$B$213,MATCH(A898,Bestand!$A$14:$A$213,0)),"ID unbekannt"))</f>
        <v/>
      </c>
      <c r="C898" s="63" t="n"/>
      <c r="D898" s="62" t="n"/>
      <c r="E898" s="60" t="n"/>
      <c r="F898" s="60" t="n"/>
      <c r="G898" s="61" t="n"/>
      <c r="H898" s="69">
        <f>IF(OR(A898="",C898=""),"",COUNTIFS($A$7:$A$1006,A898,$C$7:$C$1006,"&lt;"&amp;C898)+1)</f>
        <v/>
      </c>
      <c r="I898" s="67">
        <f>IF(H898="","",IF(H898=1,"",C898-_xlfn.MAXIFS($C$7:$C$1006,$A$7:$A$1006,A898,$C$7:$C$1006,"&lt;"&amp;C898)))</f>
        <v/>
      </c>
      <c r="J898" s="68">
        <f>IF(I898="","",I898/TpM)</f>
        <v/>
      </c>
      <c r="K898" s="69">
        <f>IF(H898="","",COUNTIFS($A$7:$A$1006,A898,$C$7:$C$1006,"&gt;0")-H898)</f>
        <v/>
      </c>
      <c r="L898" s="69">
        <f>IF(H898="","",A898&amp;"|"&amp;H898)</f>
        <v/>
      </c>
      <c r="M898" s="69">
        <f>IF(A898="","",IFERROR(INDEX(Bestand!$AC$14:$AC$213,MATCH(A898,Bestand!$A$14:$A$213,0)),0))</f>
        <v/>
      </c>
      <c r="N898" s="69">
        <f>IF(OR(H898="",M898&lt;&gt;1),"",C898+ROW()/100000)</f>
        <v/>
      </c>
    </row>
    <row r="899" ht="20" customHeight="1">
      <c r="A899" s="60" t="n"/>
      <c r="B899" s="65">
        <f>IF(A899="","",IFERROR(INDEX(Bestand!$B$14:$B$213,MATCH(A899,Bestand!$A$14:$A$213,0)),"ID unbekannt"))</f>
        <v/>
      </c>
      <c r="C899" s="63" t="n"/>
      <c r="D899" s="62" t="n"/>
      <c r="E899" s="60" t="n"/>
      <c r="F899" s="60" t="n"/>
      <c r="G899" s="61" t="n"/>
      <c r="H899" s="69">
        <f>IF(OR(A899="",C899=""),"",COUNTIFS($A$7:$A$1006,A899,$C$7:$C$1006,"&lt;"&amp;C899)+1)</f>
        <v/>
      </c>
      <c r="I899" s="67">
        <f>IF(H899="","",IF(H899=1,"",C899-_xlfn.MAXIFS($C$7:$C$1006,$A$7:$A$1006,A899,$C$7:$C$1006,"&lt;"&amp;C899)))</f>
        <v/>
      </c>
      <c r="J899" s="68">
        <f>IF(I899="","",I899/TpM)</f>
        <v/>
      </c>
      <c r="K899" s="69">
        <f>IF(H899="","",COUNTIFS($A$7:$A$1006,A899,$C$7:$C$1006,"&gt;0")-H899)</f>
        <v/>
      </c>
      <c r="L899" s="69">
        <f>IF(H899="","",A899&amp;"|"&amp;H899)</f>
        <v/>
      </c>
      <c r="M899" s="69">
        <f>IF(A899="","",IFERROR(INDEX(Bestand!$AC$14:$AC$213,MATCH(A899,Bestand!$A$14:$A$213,0)),0))</f>
        <v/>
      </c>
      <c r="N899" s="69">
        <f>IF(OR(H899="",M899&lt;&gt;1),"",C899+ROW()/100000)</f>
        <v/>
      </c>
    </row>
    <row r="900" ht="20" customHeight="1">
      <c r="A900" s="60" t="n"/>
      <c r="B900" s="65">
        <f>IF(A900="","",IFERROR(INDEX(Bestand!$B$14:$B$213,MATCH(A900,Bestand!$A$14:$A$213,0)),"ID unbekannt"))</f>
        <v/>
      </c>
      <c r="C900" s="63" t="n"/>
      <c r="D900" s="62" t="n"/>
      <c r="E900" s="60" t="n"/>
      <c r="F900" s="60" t="n"/>
      <c r="G900" s="61" t="n"/>
      <c r="H900" s="69">
        <f>IF(OR(A900="",C900=""),"",COUNTIFS($A$7:$A$1006,A900,$C$7:$C$1006,"&lt;"&amp;C900)+1)</f>
        <v/>
      </c>
      <c r="I900" s="67">
        <f>IF(H900="","",IF(H900=1,"",C900-_xlfn.MAXIFS($C$7:$C$1006,$A$7:$A$1006,A900,$C$7:$C$1006,"&lt;"&amp;C900)))</f>
        <v/>
      </c>
      <c r="J900" s="68">
        <f>IF(I900="","",I900/TpM)</f>
        <v/>
      </c>
      <c r="K900" s="69">
        <f>IF(H900="","",COUNTIFS($A$7:$A$1006,A900,$C$7:$C$1006,"&gt;0")-H900)</f>
        <v/>
      </c>
      <c r="L900" s="69">
        <f>IF(H900="","",A900&amp;"|"&amp;H900)</f>
        <v/>
      </c>
      <c r="M900" s="69">
        <f>IF(A900="","",IFERROR(INDEX(Bestand!$AC$14:$AC$213,MATCH(A900,Bestand!$A$14:$A$213,0)),0))</f>
        <v/>
      </c>
      <c r="N900" s="69">
        <f>IF(OR(H900="",M900&lt;&gt;1),"",C900+ROW()/100000)</f>
        <v/>
      </c>
    </row>
    <row r="901" ht="20" customHeight="1">
      <c r="A901" s="60" t="n"/>
      <c r="B901" s="65">
        <f>IF(A901="","",IFERROR(INDEX(Bestand!$B$14:$B$213,MATCH(A901,Bestand!$A$14:$A$213,0)),"ID unbekannt"))</f>
        <v/>
      </c>
      <c r="C901" s="63" t="n"/>
      <c r="D901" s="62" t="n"/>
      <c r="E901" s="60" t="n"/>
      <c r="F901" s="60" t="n"/>
      <c r="G901" s="61" t="n"/>
      <c r="H901" s="69">
        <f>IF(OR(A901="",C901=""),"",COUNTIFS($A$7:$A$1006,A901,$C$7:$C$1006,"&lt;"&amp;C901)+1)</f>
        <v/>
      </c>
      <c r="I901" s="67">
        <f>IF(H901="","",IF(H901=1,"",C901-_xlfn.MAXIFS($C$7:$C$1006,$A$7:$A$1006,A901,$C$7:$C$1006,"&lt;"&amp;C901)))</f>
        <v/>
      </c>
      <c r="J901" s="68">
        <f>IF(I901="","",I901/TpM)</f>
        <v/>
      </c>
      <c r="K901" s="69">
        <f>IF(H901="","",COUNTIFS($A$7:$A$1006,A901,$C$7:$C$1006,"&gt;0")-H901)</f>
        <v/>
      </c>
      <c r="L901" s="69">
        <f>IF(H901="","",A901&amp;"|"&amp;H901)</f>
        <v/>
      </c>
      <c r="M901" s="69">
        <f>IF(A901="","",IFERROR(INDEX(Bestand!$AC$14:$AC$213,MATCH(A901,Bestand!$A$14:$A$213,0)),0))</f>
        <v/>
      </c>
      <c r="N901" s="69">
        <f>IF(OR(H901="",M901&lt;&gt;1),"",C901+ROW()/100000)</f>
        <v/>
      </c>
    </row>
    <row r="902" ht="20" customHeight="1">
      <c r="A902" s="60" t="n"/>
      <c r="B902" s="65">
        <f>IF(A902="","",IFERROR(INDEX(Bestand!$B$14:$B$213,MATCH(A902,Bestand!$A$14:$A$213,0)),"ID unbekannt"))</f>
        <v/>
      </c>
      <c r="C902" s="63" t="n"/>
      <c r="D902" s="62" t="n"/>
      <c r="E902" s="60" t="n"/>
      <c r="F902" s="60" t="n"/>
      <c r="G902" s="61" t="n"/>
      <c r="H902" s="69">
        <f>IF(OR(A902="",C902=""),"",COUNTIFS($A$7:$A$1006,A902,$C$7:$C$1006,"&lt;"&amp;C902)+1)</f>
        <v/>
      </c>
      <c r="I902" s="67">
        <f>IF(H902="","",IF(H902=1,"",C902-_xlfn.MAXIFS($C$7:$C$1006,$A$7:$A$1006,A902,$C$7:$C$1006,"&lt;"&amp;C902)))</f>
        <v/>
      </c>
      <c r="J902" s="68">
        <f>IF(I902="","",I902/TpM)</f>
        <v/>
      </c>
      <c r="K902" s="69">
        <f>IF(H902="","",COUNTIFS($A$7:$A$1006,A902,$C$7:$C$1006,"&gt;0")-H902)</f>
        <v/>
      </c>
      <c r="L902" s="69">
        <f>IF(H902="","",A902&amp;"|"&amp;H902)</f>
        <v/>
      </c>
      <c r="M902" s="69">
        <f>IF(A902="","",IFERROR(INDEX(Bestand!$AC$14:$AC$213,MATCH(A902,Bestand!$A$14:$A$213,0)),0))</f>
        <v/>
      </c>
      <c r="N902" s="69">
        <f>IF(OR(H902="",M902&lt;&gt;1),"",C902+ROW()/100000)</f>
        <v/>
      </c>
    </row>
    <row r="903" ht="20" customHeight="1">
      <c r="A903" s="60" t="n"/>
      <c r="B903" s="65">
        <f>IF(A903="","",IFERROR(INDEX(Bestand!$B$14:$B$213,MATCH(A903,Bestand!$A$14:$A$213,0)),"ID unbekannt"))</f>
        <v/>
      </c>
      <c r="C903" s="63" t="n"/>
      <c r="D903" s="62" t="n"/>
      <c r="E903" s="60" t="n"/>
      <c r="F903" s="60" t="n"/>
      <c r="G903" s="61" t="n"/>
      <c r="H903" s="69">
        <f>IF(OR(A903="",C903=""),"",COUNTIFS($A$7:$A$1006,A903,$C$7:$C$1006,"&lt;"&amp;C903)+1)</f>
        <v/>
      </c>
      <c r="I903" s="67">
        <f>IF(H903="","",IF(H903=1,"",C903-_xlfn.MAXIFS($C$7:$C$1006,$A$7:$A$1006,A903,$C$7:$C$1006,"&lt;"&amp;C903)))</f>
        <v/>
      </c>
      <c r="J903" s="68">
        <f>IF(I903="","",I903/TpM)</f>
        <v/>
      </c>
      <c r="K903" s="69">
        <f>IF(H903="","",COUNTIFS($A$7:$A$1006,A903,$C$7:$C$1006,"&gt;0")-H903)</f>
        <v/>
      </c>
      <c r="L903" s="69">
        <f>IF(H903="","",A903&amp;"|"&amp;H903)</f>
        <v/>
      </c>
      <c r="M903" s="69">
        <f>IF(A903="","",IFERROR(INDEX(Bestand!$AC$14:$AC$213,MATCH(A903,Bestand!$A$14:$A$213,0)),0))</f>
        <v/>
      </c>
      <c r="N903" s="69">
        <f>IF(OR(H903="",M903&lt;&gt;1),"",C903+ROW()/100000)</f>
        <v/>
      </c>
    </row>
    <row r="904" ht="20" customHeight="1">
      <c r="A904" s="60" t="n"/>
      <c r="B904" s="65">
        <f>IF(A904="","",IFERROR(INDEX(Bestand!$B$14:$B$213,MATCH(A904,Bestand!$A$14:$A$213,0)),"ID unbekannt"))</f>
        <v/>
      </c>
      <c r="C904" s="63" t="n"/>
      <c r="D904" s="62" t="n"/>
      <c r="E904" s="60" t="n"/>
      <c r="F904" s="60" t="n"/>
      <c r="G904" s="61" t="n"/>
      <c r="H904" s="69">
        <f>IF(OR(A904="",C904=""),"",COUNTIFS($A$7:$A$1006,A904,$C$7:$C$1006,"&lt;"&amp;C904)+1)</f>
        <v/>
      </c>
      <c r="I904" s="67">
        <f>IF(H904="","",IF(H904=1,"",C904-_xlfn.MAXIFS($C$7:$C$1006,$A$7:$A$1006,A904,$C$7:$C$1006,"&lt;"&amp;C904)))</f>
        <v/>
      </c>
      <c r="J904" s="68">
        <f>IF(I904="","",I904/TpM)</f>
        <v/>
      </c>
      <c r="K904" s="69">
        <f>IF(H904="","",COUNTIFS($A$7:$A$1006,A904,$C$7:$C$1006,"&gt;0")-H904)</f>
        <v/>
      </c>
      <c r="L904" s="69">
        <f>IF(H904="","",A904&amp;"|"&amp;H904)</f>
        <v/>
      </c>
      <c r="M904" s="69">
        <f>IF(A904="","",IFERROR(INDEX(Bestand!$AC$14:$AC$213,MATCH(A904,Bestand!$A$14:$A$213,0)),0))</f>
        <v/>
      </c>
      <c r="N904" s="69">
        <f>IF(OR(H904="",M904&lt;&gt;1),"",C904+ROW()/100000)</f>
        <v/>
      </c>
    </row>
    <row r="905" ht="20" customHeight="1">
      <c r="A905" s="60" t="n"/>
      <c r="B905" s="65">
        <f>IF(A905="","",IFERROR(INDEX(Bestand!$B$14:$B$213,MATCH(A905,Bestand!$A$14:$A$213,0)),"ID unbekannt"))</f>
        <v/>
      </c>
      <c r="C905" s="63" t="n"/>
      <c r="D905" s="62" t="n"/>
      <c r="E905" s="60" t="n"/>
      <c r="F905" s="60" t="n"/>
      <c r="G905" s="61" t="n"/>
      <c r="H905" s="69">
        <f>IF(OR(A905="",C905=""),"",COUNTIFS($A$7:$A$1006,A905,$C$7:$C$1006,"&lt;"&amp;C905)+1)</f>
        <v/>
      </c>
      <c r="I905" s="67">
        <f>IF(H905="","",IF(H905=1,"",C905-_xlfn.MAXIFS($C$7:$C$1006,$A$7:$A$1006,A905,$C$7:$C$1006,"&lt;"&amp;C905)))</f>
        <v/>
      </c>
      <c r="J905" s="68">
        <f>IF(I905="","",I905/TpM)</f>
        <v/>
      </c>
      <c r="K905" s="69">
        <f>IF(H905="","",COUNTIFS($A$7:$A$1006,A905,$C$7:$C$1006,"&gt;0")-H905)</f>
        <v/>
      </c>
      <c r="L905" s="69">
        <f>IF(H905="","",A905&amp;"|"&amp;H905)</f>
        <v/>
      </c>
      <c r="M905" s="69">
        <f>IF(A905="","",IFERROR(INDEX(Bestand!$AC$14:$AC$213,MATCH(A905,Bestand!$A$14:$A$213,0)),0))</f>
        <v/>
      </c>
      <c r="N905" s="69">
        <f>IF(OR(H905="",M905&lt;&gt;1),"",C905+ROW()/100000)</f>
        <v/>
      </c>
    </row>
    <row r="906" ht="20" customHeight="1">
      <c r="A906" s="60" t="n"/>
      <c r="B906" s="65">
        <f>IF(A906="","",IFERROR(INDEX(Bestand!$B$14:$B$213,MATCH(A906,Bestand!$A$14:$A$213,0)),"ID unbekannt"))</f>
        <v/>
      </c>
      <c r="C906" s="63" t="n"/>
      <c r="D906" s="62" t="n"/>
      <c r="E906" s="60" t="n"/>
      <c r="F906" s="60" t="n"/>
      <c r="G906" s="61" t="n"/>
      <c r="H906" s="69">
        <f>IF(OR(A906="",C906=""),"",COUNTIFS($A$7:$A$1006,A906,$C$7:$C$1006,"&lt;"&amp;C906)+1)</f>
        <v/>
      </c>
      <c r="I906" s="67">
        <f>IF(H906="","",IF(H906=1,"",C906-_xlfn.MAXIFS($C$7:$C$1006,$A$7:$A$1006,A906,$C$7:$C$1006,"&lt;"&amp;C906)))</f>
        <v/>
      </c>
      <c r="J906" s="68">
        <f>IF(I906="","",I906/TpM)</f>
        <v/>
      </c>
      <c r="K906" s="69">
        <f>IF(H906="","",COUNTIFS($A$7:$A$1006,A906,$C$7:$C$1006,"&gt;0")-H906)</f>
        <v/>
      </c>
      <c r="L906" s="69">
        <f>IF(H906="","",A906&amp;"|"&amp;H906)</f>
        <v/>
      </c>
      <c r="M906" s="69">
        <f>IF(A906="","",IFERROR(INDEX(Bestand!$AC$14:$AC$213,MATCH(A906,Bestand!$A$14:$A$213,0)),0))</f>
        <v/>
      </c>
      <c r="N906" s="69">
        <f>IF(OR(H906="",M906&lt;&gt;1),"",C906+ROW()/100000)</f>
        <v/>
      </c>
    </row>
    <row r="907" ht="20" customHeight="1">
      <c r="A907" s="60" t="n"/>
      <c r="B907" s="65">
        <f>IF(A907="","",IFERROR(INDEX(Bestand!$B$14:$B$213,MATCH(A907,Bestand!$A$14:$A$213,0)),"ID unbekannt"))</f>
        <v/>
      </c>
      <c r="C907" s="63" t="n"/>
      <c r="D907" s="62" t="n"/>
      <c r="E907" s="60" t="n"/>
      <c r="F907" s="60" t="n"/>
      <c r="G907" s="61" t="n"/>
      <c r="H907" s="69">
        <f>IF(OR(A907="",C907=""),"",COUNTIFS($A$7:$A$1006,A907,$C$7:$C$1006,"&lt;"&amp;C907)+1)</f>
        <v/>
      </c>
      <c r="I907" s="67">
        <f>IF(H907="","",IF(H907=1,"",C907-_xlfn.MAXIFS($C$7:$C$1006,$A$7:$A$1006,A907,$C$7:$C$1006,"&lt;"&amp;C907)))</f>
        <v/>
      </c>
      <c r="J907" s="68">
        <f>IF(I907="","",I907/TpM)</f>
        <v/>
      </c>
      <c r="K907" s="69">
        <f>IF(H907="","",COUNTIFS($A$7:$A$1006,A907,$C$7:$C$1006,"&gt;0")-H907)</f>
        <v/>
      </c>
      <c r="L907" s="69">
        <f>IF(H907="","",A907&amp;"|"&amp;H907)</f>
        <v/>
      </c>
      <c r="M907" s="69">
        <f>IF(A907="","",IFERROR(INDEX(Bestand!$AC$14:$AC$213,MATCH(A907,Bestand!$A$14:$A$213,0)),0))</f>
        <v/>
      </c>
      <c r="N907" s="69">
        <f>IF(OR(H907="",M907&lt;&gt;1),"",C907+ROW()/100000)</f>
        <v/>
      </c>
    </row>
    <row r="908" ht="20" customHeight="1">
      <c r="A908" s="60" t="n"/>
      <c r="B908" s="65">
        <f>IF(A908="","",IFERROR(INDEX(Bestand!$B$14:$B$213,MATCH(A908,Bestand!$A$14:$A$213,0)),"ID unbekannt"))</f>
        <v/>
      </c>
      <c r="C908" s="63" t="n"/>
      <c r="D908" s="62" t="n"/>
      <c r="E908" s="60" t="n"/>
      <c r="F908" s="60" t="n"/>
      <c r="G908" s="61" t="n"/>
      <c r="H908" s="69">
        <f>IF(OR(A908="",C908=""),"",COUNTIFS($A$7:$A$1006,A908,$C$7:$C$1006,"&lt;"&amp;C908)+1)</f>
        <v/>
      </c>
      <c r="I908" s="67">
        <f>IF(H908="","",IF(H908=1,"",C908-_xlfn.MAXIFS($C$7:$C$1006,$A$7:$A$1006,A908,$C$7:$C$1006,"&lt;"&amp;C908)))</f>
        <v/>
      </c>
      <c r="J908" s="68">
        <f>IF(I908="","",I908/TpM)</f>
        <v/>
      </c>
      <c r="K908" s="69">
        <f>IF(H908="","",COUNTIFS($A$7:$A$1006,A908,$C$7:$C$1006,"&gt;0")-H908)</f>
        <v/>
      </c>
      <c r="L908" s="69">
        <f>IF(H908="","",A908&amp;"|"&amp;H908)</f>
        <v/>
      </c>
      <c r="M908" s="69">
        <f>IF(A908="","",IFERROR(INDEX(Bestand!$AC$14:$AC$213,MATCH(A908,Bestand!$A$14:$A$213,0)),0))</f>
        <v/>
      </c>
      <c r="N908" s="69">
        <f>IF(OR(H908="",M908&lt;&gt;1),"",C908+ROW()/100000)</f>
        <v/>
      </c>
    </row>
    <row r="909" ht="20" customHeight="1">
      <c r="A909" s="60" t="n"/>
      <c r="B909" s="65">
        <f>IF(A909="","",IFERROR(INDEX(Bestand!$B$14:$B$213,MATCH(A909,Bestand!$A$14:$A$213,0)),"ID unbekannt"))</f>
        <v/>
      </c>
      <c r="C909" s="63" t="n"/>
      <c r="D909" s="62" t="n"/>
      <c r="E909" s="60" t="n"/>
      <c r="F909" s="60" t="n"/>
      <c r="G909" s="61" t="n"/>
      <c r="H909" s="69">
        <f>IF(OR(A909="",C909=""),"",COUNTIFS($A$7:$A$1006,A909,$C$7:$C$1006,"&lt;"&amp;C909)+1)</f>
        <v/>
      </c>
      <c r="I909" s="67">
        <f>IF(H909="","",IF(H909=1,"",C909-_xlfn.MAXIFS($C$7:$C$1006,$A$7:$A$1006,A909,$C$7:$C$1006,"&lt;"&amp;C909)))</f>
        <v/>
      </c>
      <c r="J909" s="68">
        <f>IF(I909="","",I909/TpM)</f>
        <v/>
      </c>
      <c r="K909" s="69">
        <f>IF(H909="","",COUNTIFS($A$7:$A$1006,A909,$C$7:$C$1006,"&gt;0")-H909)</f>
        <v/>
      </c>
      <c r="L909" s="69">
        <f>IF(H909="","",A909&amp;"|"&amp;H909)</f>
        <v/>
      </c>
      <c r="M909" s="69">
        <f>IF(A909="","",IFERROR(INDEX(Bestand!$AC$14:$AC$213,MATCH(A909,Bestand!$A$14:$A$213,0)),0))</f>
        <v/>
      </c>
      <c r="N909" s="69">
        <f>IF(OR(H909="",M909&lt;&gt;1),"",C909+ROW()/100000)</f>
        <v/>
      </c>
    </row>
    <row r="910" ht="20" customHeight="1">
      <c r="A910" s="60" t="n"/>
      <c r="B910" s="65">
        <f>IF(A910="","",IFERROR(INDEX(Bestand!$B$14:$B$213,MATCH(A910,Bestand!$A$14:$A$213,0)),"ID unbekannt"))</f>
        <v/>
      </c>
      <c r="C910" s="63" t="n"/>
      <c r="D910" s="62" t="n"/>
      <c r="E910" s="60" t="n"/>
      <c r="F910" s="60" t="n"/>
      <c r="G910" s="61" t="n"/>
      <c r="H910" s="69">
        <f>IF(OR(A910="",C910=""),"",COUNTIFS($A$7:$A$1006,A910,$C$7:$C$1006,"&lt;"&amp;C910)+1)</f>
        <v/>
      </c>
      <c r="I910" s="67">
        <f>IF(H910="","",IF(H910=1,"",C910-_xlfn.MAXIFS($C$7:$C$1006,$A$7:$A$1006,A910,$C$7:$C$1006,"&lt;"&amp;C910)))</f>
        <v/>
      </c>
      <c r="J910" s="68">
        <f>IF(I910="","",I910/TpM)</f>
        <v/>
      </c>
      <c r="K910" s="69">
        <f>IF(H910="","",COUNTIFS($A$7:$A$1006,A910,$C$7:$C$1006,"&gt;0")-H910)</f>
        <v/>
      </c>
      <c r="L910" s="69">
        <f>IF(H910="","",A910&amp;"|"&amp;H910)</f>
        <v/>
      </c>
      <c r="M910" s="69">
        <f>IF(A910="","",IFERROR(INDEX(Bestand!$AC$14:$AC$213,MATCH(A910,Bestand!$A$14:$A$213,0)),0))</f>
        <v/>
      </c>
      <c r="N910" s="69">
        <f>IF(OR(H910="",M910&lt;&gt;1),"",C910+ROW()/100000)</f>
        <v/>
      </c>
    </row>
    <row r="911" ht="20" customHeight="1">
      <c r="A911" s="60" t="n"/>
      <c r="B911" s="65">
        <f>IF(A911="","",IFERROR(INDEX(Bestand!$B$14:$B$213,MATCH(A911,Bestand!$A$14:$A$213,0)),"ID unbekannt"))</f>
        <v/>
      </c>
      <c r="C911" s="63" t="n"/>
      <c r="D911" s="62" t="n"/>
      <c r="E911" s="60" t="n"/>
      <c r="F911" s="60" t="n"/>
      <c r="G911" s="61" t="n"/>
      <c r="H911" s="69">
        <f>IF(OR(A911="",C911=""),"",COUNTIFS($A$7:$A$1006,A911,$C$7:$C$1006,"&lt;"&amp;C911)+1)</f>
        <v/>
      </c>
      <c r="I911" s="67">
        <f>IF(H911="","",IF(H911=1,"",C911-_xlfn.MAXIFS($C$7:$C$1006,$A$7:$A$1006,A911,$C$7:$C$1006,"&lt;"&amp;C911)))</f>
        <v/>
      </c>
      <c r="J911" s="68">
        <f>IF(I911="","",I911/TpM)</f>
        <v/>
      </c>
      <c r="K911" s="69">
        <f>IF(H911="","",COUNTIFS($A$7:$A$1006,A911,$C$7:$C$1006,"&gt;0")-H911)</f>
        <v/>
      </c>
      <c r="L911" s="69">
        <f>IF(H911="","",A911&amp;"|"&amp;H911)</f>
        <v/>
      </c>
      <c r="M911" s="69">
        <f>IF(A911="","",IFERROR(INDEX(Bestand!$AC$14:$AC$213,MATCH(A911,Bestand!$A$14:$A$213,0)),0))</f>
        <v/>
      </c>
      <c r="N911" s="69">
        <f>IF(OR(H911="",M911&lt;&gt;1),"",C911+ROW()/100000)</f>
        <v/>
      </c>
    </row>
    <row r="912" ht="20" customHeight="1">
      <c r="A912" s="60" t="n"/>
      <c r="B912" s="65">
        <f>IF(A912="","",IFERROR(INDEX(Bestand!$B$14:$B$213,MATCH(A912,Bestand!$A$14:$A$213,0)),"ID unbekannt"))</f>
        <v/>
      </c>
      <c r="C912" s="63" t="n"/>
      <c r="D912" s="62" t="n"/>
      <c r="E912" s="60" t="n"/>
      <c r="F912" s="60" t="n"/>
      <c r="G912" s="61" t="n"/>
      <c r="H912" s="69">
        <f>IF(OR(A912="",C912=""),"",COUNTIFS($A$7:$A$1006,A912,$C$7:$C$1006,"&lt;"&amp;C912)+1)</f>
        <v/>
      </c>
      <c r="I912" s="67">
        <f>IF(H912="","",IF(H912=1,"",C912-_xlfn.MAXIFS($C$7:$C$1006,$A$7:$A$1006,A912,$C$7:$C$1006,"&lt;"&amp;C912)))</f>
        <v/>
      </c>
      <c r="J912" s="68">
        <f>IF(I912="","",I912/TpM)</f>
        <v/>
      </c>
      <c r="K912" s="69">
        <f>IF(H912="","",COUNTIFS($A$7:$A$1006,A912,$C$7:$C$1006,"&gt;0")-H912)</f>
        <v/>
      </c>
      <c r="L912" s="69">
        <f>IF(H912="","",A912&amp;"|"&amp;H912)</f>
        <v/>
      </c>
      <c r="M912" s="69">
        <f>IF(A912="","",IFERROR(INDEX(Bestand!$AC$14:$AC$213,MATCH(A912,Bestand!$A$14:$A$213,0)),0))</f>
        <v/>
      </c>
      <c r="N912" s="69">
        <f>IF(OR(H912="",M912&lt;&gt;1),"",C912+ROW()/100000)</f>
        <v/>
      </c>
    </row>
    <row r="913" ht="20" customHeight="1">
      <c r="A913" s="60" t="n"/>
      <c r="B913" s="65">
        <f>IF(A913="","",IFERROR(INDEX(Bestand!$B$14:$B$213,MATCH(A913,Bestand!$A$14:$A$213,0)),"ID unbekannt"))</f>
        <v/>
      </c>
      <c r="C913" s="63" t="n"/>
      <c r="D913" s="62" t="n"/>
      <c r="E913" s="60" t="n"/>
      <c r="F913" s="60" t="n"/>
      <c r="G913" s="61" t="n"/>
      <c r="H913" s="69">
        <f>IF(OR(A913="",C913=""),"",COUNTIFS($A$7:$A$1006,A913,$C$7:$C$1006,"&lt;"&amp;C913)+1)</f>
        <v/>
      </c>
      <c r="I913" s="67">
        <f>IF(H913="","",IF(H913=1,"",C913-_xlfn.MAXIFS($C$7:$C$1006,$A$7:$A$1006,A913,$C$7:$C$1006,"&lt;"&amp;C913)))</f>
        <v/>
      </c>
      <c r="J913" s="68">
        <f>IF(I913="","",I913/TpM)</f>
        <v/>
      </c>
      <c r="K913" s="69">
        <f>IF(H913="","",COUNTIFS($A$7:$A$1006,A913,$C$7:$C$1006,"&gt;0")-H913)</f>
        <v/>
      </c>
      <c r="L913" s="69">
        <f>IF(H913="","",A913&amp;"|"&amp;H913)</f>
        <v/>
      </c>
      <c r="M913" s="69">
        <f>IF(A913="","",IFERROR(INDEX(Bestand!$AC$14:$AC$213,MATCH(A913,Bestand!$A$14:$A$213,0)),0))</f>
        <v/>
      </c>
      <c r="N913" s="69">
        <f>IF(OR(H913="",M913&lt;&gt;1),"",C913+ROW()/100000)</f>
        <v/>
      </c>
    </row>
    <row r="914" ht="20" customHeight="1">
      <c r="A914" s="60" t="n"/>
      <c r="B914" s="65">
        <f>IF(A914="","",IFERROR(INDEX(Bestand!$B$14:$B$213,MATCH(A914,Bestand!$A$14:$A$213,0)),"ID unbekannt"))</f>
        <v/>
      </c>
      <c r="C914" s="63" t="n"/>
      <c r="D914" s="62" t="n"/>
      <c r="E914" s="60" t="n"/>
      <c r="F914" s="60" t="n"/>
      <c r="G914" s="61" t="n"/>
      <c r="H914" s="69">
        <f>IF(OR(A914="",C914=""),"",COUNTIFS($A$7:$A$1006,A914,$C$7:$C$1006,"&lt;"&amp;C914)+1)</f>
        <v/>
      </c>
      <c r="I914" s="67">
        <f>IF(H914="","",IF(H914=1,"",C914-_xlfn.MAXIFS($C$7:$C$1006,$A$7:$A$1006,A914,$C$7:$C$1006,"&lt;"&amp;C914)))</f>
        <v/>
      </c>
      <c r="J914" s="68">
        <f>IF(I914="","",I914/TpM)</f>
        <v/>
      </c>
      <c r="K914" s="69">
        <f>IF(H914="","",COUNTIFS($A$7:$A$1006,A914,$C$7:$C$1006,"&gt;0")-H914)</f>
        <v/>
      </c>
      <c r="L914" s="69">
        <f>IF(H914="","",A914&amp;"|"&amp;H914)</f>
        <v/>
      </c>
      <c r="M914" s="69">
        <f>IF(A914="","",IFERROR(INDEX(Bestand!$AC$14:$AC$213,MATCH(A914,Bestand!$A$14:$A$213,0)),0))</f>
        <v/>
      </c>
      <c r="N914" s="69">
        <f>IF(OR(H914="",M914&lt;&gt;1),"",C914+ROW()/100000)</f>
        <v/>
      </c>
    </row>
    <row r="915" ht="20" customHeight="1">
      <c r="A915" s="60" t="n"/>
      <c r="B915" s="65">
        <f>IF(A915="","",IFERROR(INDEX(Bestand!$B$14:$B$213,MATCH(A915,Bestand!$A$14:$A$213,0)),"ID unbekannt"))</f>
        <v/>
      </c>
      <c r="C915" s="63" t="n"/>
      <c r="D915" s="62" t="n"/>
      <c r="E915" s="60" t="n"/>
      <c r="F915" s="60" t="n"/>
      <c r="G915" s="61" t="n"/>
      <c r="H915" s="69">
        <f>IF(OR(A915="",C915=""),"",COUNTIFS($A$7:$A$1006,A915,$C$7:$C$1006,"&lt;"&amp;C915)+1)</f>
        <v/>
      </c>
      <c r="I915" s="67">
        <f>IF(H915="","",IF(H915=1,"",C915-_xlfn.MAXIFS($C$7:$C$1006,$A$7:$A$1006,A915,$C$7:$C$1006,"&lt;"&amp;C915)))</f>
        <v/>
      </c>
      <c r="J915" s="68">
        <f>IF(I915="","",I915/TpM)</f>
        <v/>
      </c>
      <c r="K915" s="69">
        <f>IF(H915="","",COUNTIFS($A$7:$A$1006,A915,$C$7:$C$1006,"&gt;0")-H915)</f>
        <v/>
      </c>
      <c r="L915" s="69">
        <f>IF(H915="","",A915&amp;"|"&amp;H915)</f>
        <v/>
      </c>
      <c r="M915" s="69">
        <f>IF(A915="","",IFERROR(INDEX(Bestand!$AC$14:$AC$213,MATCH(A915,Bestand!$A$14:$A$213,0)),0))</f>
        <v/>
      </c>
      <c r="N915" s="69">
        <f>IF(OR(H915="",M915&lt;&gt;1),"",C915+ROW()/100000)</f>
        <v/>
      </c>
    </row>
    <row r="916" ht="20" customHeight="1">
      <c r="A916" s="60" t="n"/>
      <c r="B916" s="65">
        <f>IF(A916="","",IFERROR(INDEX(Bestand!$B$14:$B$213,MATCH(A916,Bestand!$A$14:$A$213,0)),"ID unbekannt"))</f>
        <v/>
      </c>
      <c r="C916" s="63" t="n"/>
      <c r="D916" s="62" t="n"/>
      <c r="E916" s="60" t="n"/>
      <c r="F916" s="60" t="n"/>
      <c r="G916" s="61" t="n"/>
      <c r="H916" s="69">
        <f>IF(OR(A916="",C916=""),"",COUNTIFS($A$7:$A$1006,A916,$C$7:$C$1006,"&lt;"&amp;C916)+1)</f>
        <v/>
      </c>
      <c r="I916" s="67">
        <f>IF(H916="","",IF(H916=1,"",C916-_xlfn.MAXIFS($C$7:$C$1006,$A$7:$A$1006,A916,$C$7:$C$1006,"&lt;"&amp;C916)))</f>
        <v/>
      </c>
      <c r="J916" s="68">
        <f>IF(I916="","",I916/TpM)</f>
        <v/>
      </c>
      <c r="K916" s="69">
        <f>IF(H916="","",COUNTIFS($A$7:$A$1006,A916,$C$7:$C$1006,"&gt;0")-H916)</f>
        <v/>
      </c>
      <c r="L916" s="69">
        <f>IF(H916="","",A916&amp;"|"&amp;H916)</f>
        <v/>
      </c>
      <c r="M916" s="69">
        <f>IF(A916="","",IFERROR(INDEX(Bestand!$AC$14:$AC$213,MATCH(A916,Bestand!$A$14:$A$213,0)),0))</f>
        <v/>
      </c>
      <c r="N916" s="69">
        <f>IF(OR(H916="",M916&lt;&gt;1),"",C916+ROW()/100000)</f>
        <v/>
      </c>
    </row>
    <row r="917" ht="20" customHeight="1">
      <c r="A917" s="60" t="n"/>
      <c r="B917" s="65">
        <f>IF(A917="","",IFERROR(INDEX(Bestand!$B$14:$B$213,MATCH(A917,Bestand!$A$14:$A$213,0)),"ID unbekannt"))</f>
        <v/>
      </c>
      <c r="C917" s="63" t="n"/>
      <c r="D917" s="62" t="n"/>
      <c r="E917" s="60" t="n"/>
      <c r="F917" s="60" t="n"/>
      <c r="G917" s="61" t="n"/>
      <c r="H917" s="69">
        <f>IF(OR(A917="",C917=""),"",COUNTIFS($A$7:$A$1006,A917,$C$7:$C$1006,"&lt;"&amp;C917)+1)</f>
        <v/>
      </c>
      <c r="I917" s="67">
        <f>IF(H917="","",IF(H917=1,"",C917-_xlfn.MAXIFS($C$7:$C$1006,$A$7:$A$1006,A917,$C$7:$C$1006,"&lt;"&amp;C917)))</f>
        <v/>
      </c>
      <c r="J917" s="68">
        <f>IF(I917="","",I917/TpM)</f>
        <v/>
      </c>
      <c r="K917" s="69">
        <f>IF(H917="","",COUNTIFS($A$7:$A$1006,A917,$C$7:$C$1006,"&gt;0")-H917)</f>
        <v/>
      </c>
      <c r="L917" s="69">
        <f>IF(H917="","",A917&amp;"|"&amp;H917)</f>
        <v/>
      </c>
      <c r="M917" s="69">
        <f>IF(A917="","",IFERROR(INDEX(Bestand!$AC$14:$AC$213,MATCH(A917,Bestand!$A$14:$A$213,0)),0))</f>
        <v/>
      </c>
      <c r="N917" s="69">
        <f>IF(OR(H917="",M917&lt;&gt;1),"",C917+ROW()/100000)</f>
        <v/>
      </c>
    </row>
    <row r="918" ht="20" customHeight="1">
      <c r="A918" s="60" t="n"/>
      <c r="B918" s="65">
        <f>IF(A918="","",IFERROR(INDEX(Bestand!$B$14:$B$213,MATCH(A918,Bestand!$A$14:$A$213,0)),"ID unbekannt"))</f>
        <v/>
      </c>
      <c r="C918" s="63" t="n"/>
      <c r="D918" s="62" t="n"/>
      <c r="E918" s="60" t="n"/>
      <c r="F918" s="60" t="n"/>
      <c r="G918" s="61" t="n"/>
      <c r="H918" s="69">
        <f>IF(OR(A918="",C918=""),"",COUNTIFS($A$7:$A$1006,A918,$C$7:$C$1006,"&lt;"&amp;C918)+1)</f>
        <v/>
      </c>
      <c r="I918" s="67">
        <f>IF(H918="","",IF(H918=1,"",C918-_xlfn.MAXIFS($C$7:$C$1006,$A$7:$A$1006,A918,$C$7:$C$1006,"&lt;"&amp;C918)))</f>
        <v/>
      </c>
      <c r="J918" s="68">
        <f>IF(I918="","",I918/TpM)</f>
        <v/>
      </c>
      <c r="K918" s="69">
        <f>IF(H918="","",COUNTIFS($A$7:$A$1006,A918,$C$7:$C$1006,"&gt;0")-H918)</f>
        <v/>
      </c>
      <c r="L918" s="69">
        <f>IF(H918="","",A918&amp;"|"&amp;H918)</f>
        <v/>
      </c>
      <c r="M918" s="69">
        <f>IF(A918="","",IFERROR(INDEX(Bestand!$AC$14:$AC$213,MATCH(A918,Bestand!$A$14:$A$213,0)),0))</f>
        <v/>
      </c>
      <c r="N918" s="69">
        <f>IF(OR(H918="",M918&lt;&gt;1),"",C918+ROW()/100000)</f>
        <v/>
      </c>
    </row>
    <row r="919" ht="20" customHeight="1">
      <c r="A919" s="60" t="n"/>
      <c r="B919" s="65">
        <f>IF(A919="","",IFERROR(INDEX(Bestand!$B$14:$B$213,MATCH(A919,Bestand!$A$14:$A$213,0)),"ID unbekannt"))</f>
        <v/>
      </c>
      <c r="C919" s="63" t="n"/>
      <c r="D919" s="62" t="n"/>
      <c r="E919" s="60" t="n"/>
      <c r="F919" s="60" t="n"/>
      <c r="G919" s="61" t="n"/>
      <c r="H919" s="69">
        <f>IF(OR(A919="",C919=""),"",COUNTIFS($A$7:$A$1006,A919,$C$7:$C$1006,"&lt;"&amp;C919)+1)</f>
        <v/>
      </c>
      <c r="I919" s="67">
        <f>IF(H919="","",IF(H919=1,"",C919-_xlfn.MAXIFS($C$7:$C$1006,$A$7:$A$1006,A919,$C$7:$C$1006,"&lt;"&amp;C919)))</f>
        <v/>
      </c>
      <c r="J919" s="68">
        <f>IF(I919="","",I919/TpM)</f>
        <v/>
      </c>
      <c r="K919" s="69">
        <f>IF(H919="","",COUNTIFS($A$7:$A$1006,A919,$C$7:$C$1006,"&gt;0")-H919)</f>
        <v/>
      </c>
      <c r="L919" s="69">
        <f>IF(H919="","",A919&amp;"|"&amp;H919)</f>
        <v/>
      </c>
      <c r="M919" s="69">
        <f>IF(A919="","",IFERROR(INDEX(Bestand!$AC$14:$AC$213,MATCH(A919,Bestand!$A$14:$A$213,0)),0))</f>
        <v/>
      </c>
      <c r="N919" s="69">
        <f>IF(OR(H919="",M919&lt;&gt;1),"",C919+ROW()/100000)</f>
        <v/>
      </c>
    </row>
    <row r="920" ht="20" customHeight="1">
      <c r="A920" s="60" t="n"/>
      <c r="B920" s="65">
        <f>IF(A920="","",IFERROR(INDEX(Bestand!$B$14:$B$213,MATCH(A920,Bestand!$A$14:$A$213,0)),"ID unbekannt"))</f>
        <v/>
      </c>
      <c r="C920" s="63" t="n"/>
      <c r="D920" s="62" t="n"/>
      <c r="E920" s="60" t="n"/>
      <c r="F920" s="60" t="n"/>
      <c r="G920" s="61" t="n"/>
      <c r="H920" s="69">
        <f>IF(OR(A920="",C920=""),"",COUNTIFS($A$7:$A$1006,A920,$C$7:$C$1006,"&lt;"&amp;C920)+1)</f>
        <v/>
      </c>
      <c r="I920" s="67">
        <f>IF(H920="","",IF(H920=1,"",C920-_xlfn.MAXIFS($C$7:$C$1006,$A$7:$A$1006,A920,$C$7:$C$1006,"&lt;"&amp;C920)))</f>
        <v/>
      </c>
      <c r="J920" s="68">
        <f>IF(I920="","",I920/TpM)</f>
        <v/>
      </c>
      <c r="K920" s="69">
        <f>IF(H920="","",COUNTIFS($A$7:$A$1006,A920,$C$7:$C$1006,"&gt;0")-H920)</f>
        <v/>
      </c>
      <c r="L920" s="69">
        <f>IF(H920="","",A920&amp;"|"&amp;H920)</f>
        <v/>
      </c>
      <c r="M920" s="69">
        <f>IF(A920="","",IFERROR(INDEX(Bestand!$AC$14:$AC$213,MATCH(A920,Bestand!$A$14:$A$213,0)),0))</f>
        <v/>
      </c>
      <c r="N920" s="69">
        <f>IF(OR(H920="",M920&lt;&gt;1),"",C920+ROW()/100000)</f>
        <v/>
      </c>
    </row>
    <row r="921" ht="20" customHeight="1">
      <c r="A921" s="60" t="n"/>
      <c r="B921" s="65">
        <f>IF(A921="","",IFERROR(INDEX(Bestand!$B$14:$B$213,MATCH(A921,Bestand!$A$14:$A$213,0)),"ID unbekannt"))</f>
        <v/>
      </c>
      <c r="C921" s="63" t="n"/>
      <c r="D921" s="62" t="n"/>
      <c r="E921" s="60" t="n"/>
      <c r="F921" s="60" t="n"/>
      <c r="G921" s="61" t="n"/>
      <c r="H921" s="69">
        <f>IF(OR(A921="",C921=""),"",COUNTIFS($A$7:$A$1006,A921,$C$7:$C$1006,"&lt;"&amp;C921)+1)</f>
        <v/>
      </c>
      <c r="I921" s="67">
        <f>IF(H921="","",IF(H921=1,"",C921-_xlfn.MAXIFS($C$7:$C$1006,$A$7:$A$1006,A921,$C$7:$C$1006,"&lt;"&amp;C921)))</f>
        <v/>
      </c>
      <c r="J921" s="68">
        <f>IF(I921="","",I921/TpM)</f>
        <v/>
      </c>
      <c r="K921" s="69">
        <f>IF(H921="","",COUNTIFS($A$7:$A$1006,A921,$C$7:$C$1006,"&gt;0")-H921)</f>
        <v/>
      </c>
      <c r="L921" s="69">
        <f>IF(H921="","",A921&amp;"|"&amp;H921)</f>
        <v/>
      </c>
      <c r="M921" s="69">
        <f>IF(A921="","",IFERROR(INDEX(Bestand!$AC$14:$AC$213,MATCH(A921,Bestand!$A$14:$A$213,0)),0))</f>
        <v/>
      </c>
      <c r="N921" s="69">
        <f>IF(OR(H921="",M921&lt;&gt;1),"",C921+ROW()/100000)</f>
        <v/>
      </c>
    </row>
    <row r="922" ht="20" customHeight="1">
      <c r="A922" s="60" t="n"/>
      <c r="B922" s="65">
        <f>IF(A922="","",IFERROR(INDEX(Bestand!$B$14:$B$213,MATCH(A922,Bestand!$A$14:$A$213,0)),"ID unbekannt"))</f>
        <v/>
      </c>
      <c r="C922" s="63" t="n"/>
      <c r="D922" s="62" t="n"/>
      <c r="E922" s="60" t="n"/>
      <c r="F922" s="60" t="n"/>
      <c r="G922" s="61" t="n"/>
      <c r="H922" s="69">
        <f>IF(OR(A922="",C922=""),"",COUNTIFS($A$7:$A$1006,A922,$C$7:$C$1006,"&lt;"&amp;C922)+1)</f>
        <v/>
      </c>
      <c r="I922" s="67">
        <f>IF(H922="","",IF(H922=1,"",C922-_xlfn.MAXIFS($C$7:$C$1006,$A$7:$A$1006,A922,$C$7:$C$1006,"&lt;"&amp;C922)))</f>
        <v/>
      </c>
      <c r="J922" s="68">
        <f>IF(I922="","",I922/TpM)</f>
        <v/>
      </c>
      <c r="K922" s="69">
        <f>IF(H922="","",COUNTIFS($A$7:$A$1006,A922,$C$7:$C$1006,"&gt;0")-H922)</f>
        <v/>
      </c>
      <c r="L922" s="69">
        <f>IF(H922="","",A922&amp;"|"&amp;H922)</f>
        <v/>
      </c>
      <c r="M922" s="69">
        <f>IF(A922="","",IFERROR(INDEX(Bestand!$AC$14:$AC$213,MATCH(A922,Bestand!$A$14:$A$213,0)),0))</f>
        <v/>
      </c>
      <c r="N922" s="69">
        <f>IF(OR(H922="",M922&lt;&gt;1),"",C922+ROW()/100000)</f>
        <v/>
      </c>
    </row>
    <row r="923" ht="20" customHeight="1">
      <c r="A923" s="60" t="n"/>
      <c r="B923" s="65">
        <f>IF(A923="","",IFERROR(INDEX(Bestand!$B$14:$B$213,MATCH(A923,Bestand!$A$14:$A$213,0)),"ID unbekannt"))</f>
        <v/>
      </c>
      <c r="C923" s="63" t="n"/>
      <c r="D923" s="62" t="n"/>
      <c r="E923" s="60" t="n"/>
      <c r="F923" s="60" t="n"/>
      <c r="G923" s="61" t="n"/>
      <c r="H923" s="69">
        <f>IF(OR(A923="",C923=""),"",COUNTIFS($A$7:$A$1006,A923,$C$7:$C$1006,"&lt;"&amp;C923)+1)</f>
        <v/>
      </c>
      <c r="I923" s="67">
        <f>IF(H923="","",IF(H923=1,"",C923-_xlfn.MAXIFS($C$7:$C$1006,$A$7:$A$1006,A923,$C$7:$C$1006,"&lt;"&amp;C923)))</f>
        <v/>
      </c>
      <c r="J923" s="68">
        <f>IF(I923="","",I923/TpM)</f>
        <v/>
      </c>
      <c r="K923" s="69">
        <f>IF(H923="","",COUNTIFS($A$7:$A$1006,A923,$C$7:$C$1006,"&gt;0")-H923)</f>
        <v/>
      </c>
      <c r="L923" s="69">
        <f>IF(H923="","",A923&amp;"|"&amp;H923)</f>
        <v/>
      </c>
      <c r="M923" s="69">
        <f>IF(A923="","",IFERROR(INDEX(Bestand!$AC$14:$AC$213,MATCH(A923,Bestand!$A$14:$A$213,0)),0))</f>
        <v/>
      </c>
      <c r="N923" s="69">
        <f>IF(OR(H923="",M923&lt;&gt;1),"",C923+ROW()/100000)</f>
        <v/>
      </c>
    </row>
    <row r="924" ht="20" customHeight="1">
      <c r="A924" s="60" t="n"/>
      <c r="B924" s="65">
        <f>IF(A924="","",IFERROR(INDEX(Bestand!$B$14:$B$213,MATCH(A924,Bestand!$A$14:$A$213,0)),"ID unbekannt"))</f>
        <v/>
      </c>
      <c r="C924" s="63" t="n"/>
      <c r="D924" s="62" t="n"/>
      <c r="E924" s="60" t="n"/>
      <c r="F924" s="60" t="n"/>
      <c r="G924" s="61" t="n"/>
      <c r="H924" s="69">
        <f>IF(OR(A924="",C924=""),"",COUNTIFS($A$7:$A$1006,A924,$C$7:$C$1006,"&lt;"&amp;C924)+1)</f>
        <v/>
      </c>
      <c r="I924" s="67">
        <f>IF(H924="","",IF(H924=1,"",C924-_xlfn.MAXIFS($C$7:$C$1006,$A$7:$A$1006,A924,$C$7:$C$1006,"&lt;"&amp;C924)))</f>
        <v/>
      </c>
      <c r="J924" s="68">
        <f>IF(I924="","",I924/TpM)</f>
        <v/>
      </c>
      <c r="K924" s="69">
        <f>IF(H924="","",COUNTIFS($A$7:$A$1006,A924,$C$7:$C$1006,"&gt;0")-H924)</f>
        <v/>
      </c>
      <c r="L924" s="69">
        <f>IF(H924="","",A924&amp;"|"&amp;H924)</f>
        <v/>
      </c>
      <c r="M924" s="69">
        <f>IF(A924="","",IFERROR(INDEX(Bestand!$AC$14:$AC$213,MATCH(A924,Bestand!$A$14:$A$213,0)),0))</f>
        <v/>
      </c>
      <c r="N924" s="69">
        <f>IF(OR(H924="",M924&lt;&gt;1),"",C924+ROW()/100000)</f>
        <v/>
      </c>
    </row>
    <row r="925" ht="20" customHeight="1">
      <c r="A925" s="60" t="n"/>
      <c r="B925" s="65">
        <f>IF(A925="","",IFERROR(INDEX(Bestand!$B$14:$B$213,MATCH(A925,Bestand!$A$14:$A$213,0)),"ID unbekannt"))</f>
        <v/>
      </c>
      <c r="C925" s="63" t="n"/>
      <c r="D925" s="62" t="n"/>
      <c r="E925" s="60" t="n"/>
      <c r="F925" s="60" t="n"/>
      <c r="G925" s="61" t="n"/>
      <c r="H925" s="69">
        <f>IF(OR(A925="",C925=""),"",COUNTIFS($A$7:$A$1006,A925,$C$7:$C$1006,"&lt;"&amp;C925)+1)</f>
        <v/>
      </c>
      <c r="I925" s="67">
        <f>IF(H925="","",IF(H925=1,"",C925-_xlfn.MAXIFS($C$7:$C$1006,$A$7:$A$1006,A925,$C$7:$C$1006,"&lt;"&amp;C925)))</f>
        <v/>
      </c>
      <c r="J925" s="68">
        <f>IF(I925="","",I925/TpM)</f>
        <v/>
      </c>
      <c r="K925" s="69">
        <f>IF(H925="","",COUNTIFS($A$7:$A$1006,A925,$C$7:$C$1006,"&gt;0")-H925)</f>
        <v/>
      </c>
      <c r="L925" s="69">
        <f>IF(H925="","",A925&amp;"|"&amp;H925)</f>
        <v/>
      </c>
      <c r="M925" s="69">
        <f>IF(A925="","",IFERROR(INDEX(Bestand!$AC$14:$AC$213,MATCH(A925,Bestand!$A$14:$A$213,0)),0))</f>
        <v/>
      </c>
      <c r="N925" s="69">
        <f>IF(OR(H925="",M925&lt;&gt;1),"",C925+ROW()/100000)</f>
        <v/>
      </c>
    </row>
    <row r="926" ht="20" customHeight="1">
      <c r="A926" s="60" t="n"/>
      <c r="B926" s="65">
        <f>IF(A926="","",IFERROR(INDEX(Bestand!$B$14:$B$213,MATCH(A926,Bestand!$A$14:$A$213,0)),"ID unbekannt"))</f>
        <v/>
      </c>
      <c r="C926" s="63" t="n"/>
      <c r="D926" s="62" t="n"/>
      <c r="E926" s="60" t="n"/>
      <c r="F926" s="60" t="n"/>
      <c r="G926" s="61" t="n"/>
      <c r="H926" s="69">
        <f>IF(OR(A926="",C926=""),"",COUNTIFS($A$7:$A$1006,A926,$C$7:$C$1006,"&lt;"&amp;C926)+1)</f>
        <v/>
      </c>
      <c r="I926" s="67">
        <f>IF(H926="","",IF(H926=1,"",C926-_xlfn.MAXIFS($C$7:$C$1006,$A$7:$A$1006,A926,$C$7:$C$1006,"&lt;"&amp;C926)))</f>
        <v/>
      </c>
      <c r="J926" s="68">
        <f>IF(I926="","",I926/TpM)</f>
        <v/>
      </c>
      <c r="K926" s="69">
        <f>IF(H926="","",COUNTIFS($A$7:$A$1006,A926,$C$7:$C$1006,"&gt;0")-H926)</f>
        <v/>
      </c>
      <c r="L926" s="69">
        <f>IF(H926="","",A926&amp;"|"&amp;H926)</f>
        <v/>
      </c>
      <c r="M926" s="69">
        <f>IF(A926="","",IFERROR(INDEX(Bestand!$AC$14:$AC$213,MATCH(A926,Bestand!$A$14:$A$213,0)),0))</f>
        <v/>
      </c>
      <c r="N926" s="69">
        <f>IF(OR(H926="",M926&lt;&gt;1),"",C926+ROW()/100000)</f>
        <v/>
      </c>
    </row>
    <row r="927" ht="20" customHeight="1">
      <c r="A927" s="60" t="n"/>
      <c r="B927" s="65">
        <f>IF(A927="","",IFERROR(INDEX(Bestand!$B$14:$B$213,MATCH(A927,Bestand!$A$14:$A$213,0)),"ID unbekannt"))</f>
        <v/>
      </c>
      <c r="C927" s="63" t="n"/>
      <c r="D927" s="62" t="n"/>
      <c r="E927" s="60" t="n"/>
      <c r="F927" s="60" t="n"/>
      <c r="G927" s="61" t="n"/>
      <c r="H927" s="69">
        <f>IF(OR(A927="",C927=""),"",COUNTIFS($A$7:$A$1006,A927,$C$7:$C$1006,"&lt;"&amp;C927)+1)</f>
        <v/>
      </c>
      <c r="I927" s="67">
        <f>IF(H927="","",IF(H927=1,"",C927-_xlfn.MAXIFS($C$7:$C$1006,$A$7:$A$1006,A927,$C$7:$C$1006,"&lt;"&amp;C927)))</f>
        <v/>
      </c>
      <c r="J927" s="68">
        <f>IF(I927="","",I927/TpM)</f>
        <v/>
      </c>
      <c r="K927" s="69">
        <f>IF(H927="","",COUNTIFS($A$7:$A$1006,A927,$C$7:$C$1006,"&gt;0")-H927)</f>
        <v/>
      </c>
      <c r="L927" s="69">
        <f>IF(H927="","",A927&amp;"|"&amp;H927)</f>
        <v/>
      </c>
      <c r="M927" s="69">
        <f>IF(A927="","",IFERROR(INDEX(Bestand!$AC$14:$AC$213,MATCH(A927,Bestand!$A$14:$A$213,0)),0))</f>
        <v/>
      </c>
      <c r="N927" s="69">
        <f>IF(OR(H927="",M927&lt;&gt;1),"",C927+ROW()/100000)</f>
        <v/>
      </c>
    </row>
    <row r="928" ht="20" customHeight="1">
      <c r="A928" s="60" t="n"/>
      <c r="B928" s="65">
        <f>IF(A928="","",IFERROR(INDEX(Bestand!$B$14:$B$213,MATCH(A928,Bestand!$A$14:$A$213,0)),"ID unbekannt"))</f>
        <v/>
      </c>
      <c r="C928" s="63" t="n"/>
      <c r="D928" s="62" t="n"/>
      <c r="E928" s="60" t="n"/>
      <c r="F928" s="60" t="n"/>
      <c r="G928" s="61" t="n"/>
      <c r="H928" s="69">
        <f>IF(OR(A928="",C928=""),"",COUNTIFS($A$7:$A$1006,A928,$C$7:$C$1006,"&lt;"&amp;C928)+1)</f>
        <v/>
      </c>
      <c r="I928" s="67">
        <f>IF(H928="","",IF(H928=1,"",C928-_xlfn.MAXIFS($C$7:$C$1006,$A$7:$A$1006,A928,$C$7:$C$1006,"&lt;"&amp;C928)))</f>
        <v/>
      </c>
      <c r="J928" s="68">
        <f>IF(I928="","",I928/TpM)</f>
        <v/>
      </c>
      <c r="K928" s="69">
        <f>IF(H928="","",COUNTIFS($A$7:$A$1006,A928,$C$7:$C$1006,"&gt;0")-H928)</f>
        <v/>
      </c>
      <c r="L928" s="69">
        <f>IF(H928="","",A928&amp;"|"&amp;H928)</f>
        <v/>
      </c>
      <c r="M928" s="69">
        <f>IF(A928="","",IFERROR(INDEX(Bestand!$AC$14:$AC$213,MATCH(A928,Bestand!$A$14:$A$213,0)),0))</f>
        <v/>
      </c>
      <c r="N928" s="69">
        <f>IF(OR(H928="",M928&lt;&gt;1),"",C928+ROW()/100000)</f>
        <v/>
      </c>
    </row>
    <row r="929" ht="20" customHeight="1">
      <c r="A929" s="60" t="n"/>
      <c r="B929" s="65">
        <f>IF(A929="","",IFERROR(INDEX(Bestand!$B$14:$B$213,MATCH(A929,Bestand!$A$14:$A$213,0)),"ID unbekannt"))</f>
        <v/>
      </c>
      <c r="C929" s="63" t="n"/>
      <c r="D929" s="62" t="n"/>
      <c r="E929" s="60" t="n"/>
      <c r="F929" s="60" t="n"/>
      <c r="G929" s="61" t="n"/>
      <c r="H929" s="69">
        <f>IF(OR(A929="",C929=""),"",COUNTIFS($A$7:$A$1006,A929,$C$7:$C$1006,"&lt;"&amp;C929)+1)</f>
        <v/>
      </c>
      <c r="I929" s="67">
        <f>IF(H929="","",IF(H929=1,"",C929-_xlfn.MAXIFS($C$7:$C$1006,$A$7:$A$1006,A929,$C$7:$C$1006,"&lt;"&amp;C929)))</f>
        <v/>
      </c>
      <c r="J929" s="68">
        <f>IF(I929="","",I929/TpM)</f>
        <v/>
      </c>
      <c r="K929" s="69">
        <f>IF(H929="","",COUNTIFS($A$7:$A$1006,A929,$C$7:$C$1006,"&gt;0")-H929)</f>
        <v/>
      </c>
      <c r="L929" s="69">
        <f>IF(H929="","",A929&amp;"|"&amp;H929)</f>
        <v/>
      </c>
      <c r="M929" s="69">
        <f>IF(A929="","",IFERROR(INDEX(Bestand!$AC$14:$AC$213,MATCH(A929,Bestand!$A$14:$A$213,0)),0))</f>
        <v/>
      </c>
      <c r="N929" s="69">
        <f>IF(OR(H929="",M929&lt;&gt;1),"",C929+ROW()/100000)</f>
        <v/>
      </c>
    </row>
    <row r="930" ht="20" customHeight="1">
      <c r="A930" s="60" t="n"/>
      <c r="B930" s="65">
        <f>IF(A930="","",IFERROR(INDEX(Bestand!$B$14:$B$213,MATCH(A930,Bestand!$A$14:$A$213,0)),"ID unbekannt"))</f>
        <v/>
      </c>
      <c r="C930" s="63" t="n"/>
      <c r="D930" s="62" t="n"/>
      <c r="E930" s="60" t="n"/>
      <c r="F930" s="60" t="n"/>
      <c r="G930" s="61" t="n"/>
      <c r="H930" s="69">
        <f>IF(OR(A930="",C930=""),"",COUNTIFS($A$7:$A$1006,A930,$C$7:$C$1006,"&lt;"&amp;C930)+1)</f>
        <v/>
      </c>
      <c r="I930" s="67">
        <f>IF(H930="","",IF(H930=1,"",C930-_xlfn.MAXIFS($C$7:$C$1006,$A$7:$A$1006,A930,$C$7:$C$1006,"&lt;"&amp;C930)))</f>
        <v/>
      </c>
      <c r="J930" s="68">
        <f>IF(I930="","",I930/TpM)</f>
        <v/>
      </c>
      <c r="K930" s="69">
        <f>IF(H930="","",COUNTIFS($A$7:$A$1006,A930,$C$7:$C$1006,"&gt;0")-H930)</f>
        <v/>
      </c>
      <c r="L930" s="69">
        <f>IF(H930="","",A930&amp;"|"&amp;H930)</f>
        <v/>
      </c>
      <c r="M930" s="69">
        <f>IF(A930="","",IFERROR(INDEX(Bestand!$AC$14:$AC$213,MATCH(A930,Bestand!$A$14:$A$213,0)),0))</f>
        <v/>
      </c>
      <c r="N930" s="69">
        <f>IF(OR(H930="",M930&lt;&gt;1),"",C930+ROW()/100000)</f>
        <v/>
      </c>
    </row>
    <row r="931" ht="20" customHeight="1">
      <c r="A931" s="60" t="n"/>
      <c r="B931" s="65">
        <f>IF(A931="","",IFERROR(INDEX(Bestand!$B$14:$B$213,MATCH(A931,Bestand!$A$14:$A$213,0)),"ID unbekannt"))</f>
        <v/>
      </c>
      <c r="C931" s="63" t="n"/>
      <c r="D931" s="62" t="n"/>
      <c r="E931" s="60" t="n"/>
      <c r="F931" s="60" t="n"/>
      <c r="G931" s="61" t="n"/>
      <c r="H931" s="69">
        <f>IF(OR(A931="",C931=""),"",COUNTIFS($A$7:$A$1006,A931,$C$7:$C$1006,"&lt;"&amp;C931)+1)</f>
        <v/>
      </c>
      <c r="I931" s="67">
        <f>IF(H931="","",IF(H931=1,"",C931-_xlfn.MAXIFS($C$7:$C$1006,$A$7:$A$1006,A931,$C$7:$C$1006,"&lt;"&amp;C931)))</f>
        <v/>
      </c>
      <c r="J931" s="68">
        <f>IF(I931="","",I931/TpM)</f>
        <v/>
      </c>
      <c r="K931" s="69">
        <f>IF(H931="","",COUNTIFS($A$7:$A$1006,A931,$C$7:$C$1006,"&gt;0")-H931)</f>
        <v/>
      </c>
      <c r="L931" s="69">
        <f>IF(H931="","",A931&amp;"|"&amp;H931)</f>
        <v/>
      </c>
      <c r="M931" s="69">
        <f>IF(A931="","",IFERROR(INDEX(Bestand!$AC$14:$AC$213,MATCH(A931,Bestand!$A$14:$A$213,0)),0))</f>
        <v/>
      </c>
      <c r="N931" s="69">
        <f>IF(OR(H931="",M931&lt;&gt;1),"",C931+ROW()/100000)</f>
        <v/>
      </c>
    </row>
    <row r="932" ht="20" customHeight="1">
      <c r="A932" s="60" t="n"/>
      <c r="B932" s="65">
        <f>IF(A932="","",IFERROR(INDEX(Bestand!$B$14:$B$213,MATCH(A932,Bestand!$A$14:$A$213,0)),"ID unbekannt"))</f>
        <v/>
      </c>
      <c r="C932" s="63" t="n"/>
      <c r="D932" s="62" t="n"/>
      <c r="E932" s="60" t="n"/>
      <c r="F932" s="60" t="n"/>
      <c r="G932" s="61" t="n"/>
      <c r="H932" s="69">
        <f>IF(OR(A932="",C932=""),"",COUNTIFS($A$7:$A$1006,A932,$C$7:$C$1006,"&lt;"&amp;C932)+1)</f>
        <v/>
      </c>
      <c r="I932" s="67">
        <f>IF(H932="","",IF(H932=1,"",C932-_xlfn.MAXIFS($C$7:$C$1006,$A$7:$A$1006,A932,$C$7:$C$1006,"&lt;"&amp;C932)))</f>
        <v/>
      </c>
      <c r="J932" s="68">
        <f>IF(I932="","",I932/TpM)</f>
        <v/>
      </c>
      <c r="K932" s="69">
        <f>IF(H932="","",COUNTIFS($A$7:$A$1006,A932,$C$7:$C$1006,"&gt;0")-H932)</f>
        <v/>
      </c>
      <c r="L932" s="69">
        <f>IF(H932="","",A932&amp;"|"&amp;H932)</f>
        <v/>
      </c>
      <c r="M932" s="69">
        <f>IF(A932="","",IFERROR(INDEX(Bestand!$AC$14:$AC$213,MATCH(A932,Bestand!$A$14:$A$213,0)),0))</f>
        <v/>
      </c>
      <c r="N932" s="69">
        <f>IF(OR(H932="",M932&lt;&gt;1),"",C932+ROW()/100000)</f>
        <v/>
      </c>
    </row>
    <row r="933" ht="20" customHeight="1">
      <c r="A933" s="60" t="n"/>
      <c r="B933" s="65">
        <f>IF(A933="","",IFERROR(INDEX(Bestand!$B$14:$B$213,MATCH(A933,Bestand!$A$14:$A$213,0)),"ID unbekannt"))</f>
        <v/>
      </c>
      <c r="C933" s="63" t="n"/>
      <c r="D933" s="62" t="n"/>
      <c r="E933" s="60" t="n"/>
      <c r="F933" s="60" t="n"/>
      <c r="G933" s="61" t="n"/>
      <c r="H933" s="69">
        <f>IF(OR(A933="",C933=""),"",COUNTIFS($A$7:$A$1006,A933,$C$7:$C$1006,"&lt;"&amp;C933)+1)</f>
        <v/>
      </c>
      <c r="I933" s="67">
        <f>IF(H933="","",IF(H933=1,"",C933-_xlfn.MAXIFS($C$7:$C$1006,$A$7:$A$1006,A933,$C$7:$C$1006,"&lt;"&amp;C933)))</f>
        <v/>
      </c>
      <c r="J933" s="68">
        <f>IF(I933="","",I933/TpM)</f>
        <v/>
      </c>
      <c r="K933" s="69">
        <f>IF(H933="","",COUNTIFS($A$7:$A$1006,A933,$C$7:$C$1006,"&gt;0")-H933)</f>
        <v/>
      </c>
      <c r="L933" s="69">
        <f>IF(H933="","",A933&amp;"|"&amp;H933)</f>
        <v/>
      </c>
      <c r="M933" s="69">
        <f>IF(A933="","",IFERROR(INDEX(Bestand!$AC$14:$AC$213,MATCH(A933,Bestand!$A$14:$A$213,0)),0))</f>
        <v/>
      </c>
      <c r="N933" s="69">
        <f>IF(OR(H933="",M933&lt;&gt;1),"",C933+ROW()/100000)</f>
        <v/>
      </c>
    </row>
    <row r="934" ht="20" customHeight="1">
      <c r="A934" s="60" t="n"/>
      <c r="B934" s="65">
        <f>IF(A934="","",IFERROR(INDEX(Bestand!$B$14:$B$213,MATCH(A934,Bestand!$A$14:$A$213,0)),"ID unbekannt"))</f>
        <v/>
      </c>
      <c r="C934" s="63" t="n"/>
      <c r="D934" s="62" t="n"/>
      <c r="E934" s="60" t="n"/>
      <c r="F934" s="60" t="n"/>
      <c r="G934" s="61" t="n"/>
      <c r="H934" s="69">
        <f>IF(OR(A934="",C934=""),"",COUNTIFS($A$7:$A$1006,A934,$C$7:$C$1006,"&lt;"&amp;C934)+1)</f>
        <v/>
      </c>
      <c r="I934" s="67">
        <f>IF(H934="","",IF(H934=1,"",C934-_xlfn.MAXIFS($C$7:$C$1006,$A$7:$A$1006,A934,$C$7:$C$1006,"&lt;"&amp;C934)))</f>
        <v/>
      </c>
      <c r="J934" s="68">
        <f>IF(I934="","",I934/TpM)</f>
        <v/>
      </c>
      <c r="K934" s="69">
        <f>IF(H934="","",COUNTIFS($A$7:$A$1006,A934,$C$7:$C$1006,"&gt;0")-H934)</f>
        <v/>
      </c>
      <c r="L934" s="69">
        <f>IF(H934="","",A934&amp;"|"&amp;H934)</f>
        <v/>
      </c>
      <c r="M934" s="69">
        <f>IF(A934="","",IFERROR(INDEX(Bestand!$AC$14:$AC$213,MATCH(A934,Bestand!$A$14:$A$213,0)),0))</f>
        <v/>
      </c>
      <c r="N934" s="69">
        <f>IF(OR(H934="",M934&lt;&gt;1),"",C934+ROW()/100000)</f>
        <v/>
      </c>
    </row>
    <row r="935" ht="20" customHeight="1">
      <c r="A935" s="60" t="n"/>
      <c r="B935" s="65">
        <f>IF(A935="","",IFERROR(INDEX(Bestand!$B$14:$B$213,MATCH(A935,Bestand!$A$14:$A$213,0)),"ID unbekannt"))</f>
        <v/>
      </c>
      <c r="C935" s="63" t="n"/>
      <c r="D935" s="62" t="n"/>
      <c r="E935" s="60" t="n"/>
      <c r="F935" s="60" t="n"/>
      <c r="G935" s="61" t="n"/>
      <c r="H935" s="69">
        <f>IF(OR(A935="",C935=""),"",COUNTIFS($A$7:$A$1006,A935,$C$7:$C$1006,"&lt;"&amp;C935)+1)</f>
        <v/>
      </c>
      <c r="I935" s="67">
        <f>IF(H935="","",IF(H935=1,"",C935-_xlfn.MAXIFS($C$7:$C$1006,$A$7:$A$1006,A935,$C$7:$C$1006,"&lt;"&amp;C935)))</f>
        <v/>
      </c>
      <c r="J935" s="68">
        <f>IF(I935="","",I935/TpM)</f>
        <v/>
      </c>
      <c r="K935" s="69">
        <f>IF(H935="","",COUNTIFS($A$7:$A$1006,A935,$C$7:$C$1006,"&gt;0")-H935)</f>
        <v/>
      </c>
      <c r="L935" s="69">
        <f>IF(H935="","",A935&amp;"|"&amp;H935)</f>
        <v/>
      </c>
      <c r="M935" s="69">
        <f>IF(A935="","",IFERROR(INDEX(Bestand!$AC$14:$AC$213,MATCH(A935,Bestand!$A$14:$A$213,0)),0))</f>
        <v/>
      </c>
      <c r="N935" s="69">
        <f>IF(OR(H935="",M935&lt;&gt;1),"",C935+ROW()/100000)</f>
        <v/>
      </c>
    </row>
    <row r="936" ht="20" customHeight="1">
      <c r="A936" s="60" t="n"/>
      <c r="B936" s="65">
        <f>IF(A936="","",IFERROR(INDEX(Bestand!$B$14:$B$213,MATCH(A936,Bestand!$A$14:$A$213,0)),"ID unbekannt"))</f>
        <v/>
      </c>
      <c r="C936" s="63" t="n"/>
      <c r="D936" s="62" t="n"/>
      <c r="E936" s="60" t="n"/>
      <c r="F936" s="60" t="n"/>
      <c r="G936" s="61" t="n"/>
      <c r="H936" s="69">
        <f>IF(OR(A936="",C936=""),"",COUNTIFS($A$7:$A$1006,A936,$C$7:$C$1006,"&lt;"&amp;C936)+1)</f>
        <v/>
      </c>
      <c r="I936" s="67">
        <f>IF(H936="","",IF(H936=1,"",C936-_xlfn.MAXIFS($C$7:$C$1006,$A$7:$A$1006,A936,$C$7:$C$1006,"&lt;"&amp;C936)))</f>
        <v/>
      </c>
      <c r="J936" s="68">
        <f>IF(I936="","",I936/TpM)</f>
        <v/>
      </c>
      <c r="K936" s="69">
        <f>IF(H936="","",COUNTIFS($A$7:$A$1006,A936,$C$7:$C$1006,"&gt;0")-H936)</f>
        <v/>
      </c>
      <c r="L936" s="69">
        <f>IF(H936="","",A936&amp;"|"&amp;H936)</f>
        <v/>
      </c>
      <c r="M936" s="69">
        <f>IF(A936="","",IFERROR(INDEX(Bestand!$AC$14:$AC$213,MATCH(A936,Bestand!$A$14:$A$213,0)),0))</f>
        <v/>
      </c>
      <c r="N936" s="69">
        <f>IF(OR(H936="",M936&lt;&gt;1),"",C936+ROW()/100000)</f>
        <v/>
      </c>
    </row>
    <row r="937" ht="20" customHeight="1">
      <c r="A937" s="60" t="n"/>
      <c r="B937" s="65">
        <f>IF(A937="","",IFERROR(INDEX(Bestand!$B$14:$B$213,MATCH(A937,Bestand!$A$14:$A$213,0)),"ID unbekannt"))</f>
        <v/>
      </c>
      <c r="C937" s="63" t="n"/>
      <c r="D937" s="62" t="n"/>
      <c r="E937" s="60" t="n"/>
      <c r="F937" s="60" t="n"/>
      <c r="G937" s="61" t="n"/>
      <c r="H937" s="69">
        <f>IF(OR(A937="",C937=""),"",COUNTIFS($A$7:$A$1006,A937,$C$7:$C$1006,"&lt;"&amp;C937)+1)</f>
        <v/>
      </c>
      <c r="I937" s="67">
        <f>IF(H937="","",IF(H937=1,"",C937-_xlfn.MAXIFS($C$7:$C$1006,$A$7:$A$1006,A937,$C$7:$C$1006,"&lt;"&amp;C937)))</f>
        <v/>
      </c>
      <c r="J937" s="68">
        <f>IF(I937="","",I937/TpM)</f>
        <v/>
      </c>
      <c r="K937" s="69">
        <f>IF(H937="","",COUNTIFS($A$7:$A$1006,A937,$C$7:$C$1006,"&gt;0")-H937)</f>
        <v/>
      </c>
      <c r="L937" s="69">
        <f>IF(H937="","",A937&amp;"|"&amp;H937)</f>
        <v/>
      </c>
      <c r="M937" s="69">
        <f>IF(A937="","",IFERROR(INDEX(Bestand!$AC$14:$AC$213,MATCH(A937,Bestand!$A$14:$A$213,0)),0))</f>
        <v/>
      </c>
      <c r="N937" s="69">
        <f>IF(OR(H937="",M937&lt;&gt;1),"",C937+ROW()/100000)</f>
        <v/>
      </c>
    </row>
    <row r="938" ht="20" customHeight="1">
      <c r="A938" s="60" t="n"/>
      <c r="B938" s="65">
        <f>IF(A938="","",IFERROR(INDEX(Bestand!$B$14:$B$213,MATCH(A938,Bestand!$A$14:$A$213,0)),"ID unbekannt"))</f>
        <v/>
      </c>
      <c r="C938" s="63" t="n"/>
      <c r="D938" s="62" t="n"/>
      <c r="E938" s="60" t="n"/>
      <c r="F938" s="60" t="n"/>
      <c r="G938" s="61" t="n"/>
      <c r="H938" s="69">
        <f>IF(OR(A938="",C938=""),"",COUNTIFS($A$7:$A$1006,A938,$C$7:$C$1006,"&lt;"&amp;C938)+1)</f>
        <v/>
      </c>
      <c r="I938" s="67">
        <f>IF(H938="","",IF(H938=1,"",C938-_xlfn.MAXIFS($C$7:$C$1006,$A$7:$A$1006,A938,$C$7:$C$1006,"&lt;"&amp;C938)))</f>
        <v/>
      </c>
      <c r="J938" s="68">
        <f>IF(I938="","",I938/TpM)</f>
        <v/>
      </c>
      <c r="K938" s="69">
        <f>IF(H938="","",COUNTIFS($A$7:$A$1006,A938,$C$7:$C$1006,"&gt;0")-H938)</f>
        <v/>
      </c>
      <c r="L938" s="69">
        <f>IF(H938="","",A938&amp;"|"&amp;H938)</f>
        <v/>
      </c>
      <c r="M938" s="69">
        <f>IF(A938="","",IFERROR(INDEX(Bestand!$AC$14:$AC$213,MATCH(A938,Bestand!$A$14:$A$213,0)),0))</f>
        <v/>
      </c>
      <c r="N938" s="69">
        <f>IF(OR(H938="",M938&lt;&gt;1),"",C938+ROW()/100000)</f>
        <v/>
      </c>
    </row>
    <row r="939" ht="20" customHeight="1">
      <c r="A939" s="60" t="n"/>
      <c r="B939" s="65">
        <f>IF(A939="","",IFERROR(INDEX(Bestand!$B$14:$B$213,MATCH(A939,Bestand!$A$14:$A$213,0)),"ID unbekannt"))</f>
        <v/>
      </c>
      <c r="C939" s="63" t="n"/>
      <c r="D939" s="62" t="n"/>
      <c r="E939" s="60" t="n"/>
      <c r="F939" s="60" t="n"/>
      <c r="G939" s="61" t="n"/>
      <c r="H939" s="69">
        <f>IF(OR(A939="",C939=""),"",COUNTIFS($A$7:$A$1006,A939,$C$7:$C$1006,"&lt;"&amp;C939)+1)</f>
        <v/>
      </c>
      <c r="I939" s="67">
        <f>IF(H939="","",IF(H939=1,"",C939-_xlfn.MAXIFS($C$7:$C$1006,$A$7:$A$1006,A939,$C$7:$C$1006,"&lt;"&amp;C939)))</f>
        <v/>
      </c>
      <c r="J939" s="68">
        <f>IF(I939="","",I939/TpM)</f>
        <v/>
      </c>
      <c r="K939" s="69">
        <f>IF(H939="","",COUNTIFS($A$7:$A$1006,A939,$C$7:$C$1006,"&gt;0")-H939)</f>
        <v/>
      </c>
      <c r="L939" s="69">
        <f>IF(H939="","",A939&amp;"|"&amp;H939)</f>
        <v/>
      </c>
      <c r="M939" s="69">
        <f>IF(A939="","",IFERROR(INDEX(Bestand!$AC$14:$AC$213,MATCH(A939,Bestand!$A$14:$A$213,0)),0))</f>
        <v/>
      </c>
      <c r="N939" s="69">
        <f>IF(OR(H939="",M939&lt;&gt;1),"",C939+ROW()/100000)</f>
        <v/>
      </c>
    </row>
    <row r="940" ht="20" customHeight="1">
      <c r="A940" s="60" t="n"/>
      <c r="B940" s="65">
        <f>IF(A940="","",IFERROR(INDEX(Bestand!$B$14:$B$213,MATCH(A940,Bestand!$A$14:$A$213,0)),"ID unbekannt"))</f>
        <v/>
      </c>
      <c r="C940" s="63" t="n"/>
      <c r="D940" s="62" t="n"/>
      <c r="E940" s="60" t="n"/>
      <c r="F940" s="60" t="n"/>
      <c r="G940" s="61" t="n"/>
      <c r="H940" s="69">
        <f>IF(OR(A940="",C940=""),"",COUNTIFS($A$7:$A$1006,A940,$C$7:$C$1006,"&lt;"&amp;C940)+1)</f>
        <v/>
      </c>
      <c r="I940" s="67">
        <f>IF(H940="","",IF(H940=1,"",C940-_xlfn.MAXIFS($C$7:$C$1006,$A$7:$A$1006,A940,$C$7:$C$1006,"&lt;"&amp;C940)))</f>
        <v/>
      </c>
      <c r="J940" s="68">
        <f>IF(I940="","",I940/TpM)</f>
        <v/>
      </c>
      <c r="K940" s="69">
        <f>IF(H940="","",COUNTIFS($A$7:$A$1006,A940,$C$7:$C$1006,"&gt;0")-H940)</f>
        <v/>
      </c>
      <c r="L940" s="69">
        <f>IF(H940="","",A940&amp;"|"&amp;H940)</f>
        <v/>
      </c>
      <c r="M940" s="69">
        <f>IF(A940="","",IFERROR(INDEX(Bestand!$AC$14:$AC$213,MATCH(A940,Bestand!$A$14:$A$213,0)),0))</f>
        <v/>
      </c>
      <c r="N940" s="69">
        <f>IF(OR(H940="",M940&lt;&gt;1),"",C940+ROW()/100000)</f>
        <v/>
      </c>
    </row>
    <row r="941" ht="20" customHeight="1">
      <c r="A941" s="60" t="n"/>
      <c r="B941" s="65">
        <f>IF(A941="","",IFERROR(INDEX(Bestand!$B$14:$B$213,MATCH(A941,Bestand!$A$14:$A$213,0)),"ID unbekannt"))</f>
        <v/>
      </c>
      <c r="C941" s="63" t="n"/>
      <c r="D941" s="62" t="n"/>
      <c r="E941" s="60" t="n"/>
      <c r="F941" s="60" t="n"/>
      <c r="G941" s="61" t="n"/>
      <c r="H941" s="69">
        <f>IF(OR(A941="",C941=""),"",COUNTIFS($A$7:$A$1006,A941,$C$7:$C$1006,"&lt;"&amp;C941)+1)</f>
        <v/>
      </c>
      <c r="I941" s="67">
        <f>IF(H941="","",IF(H941=1,"",C941-_xlfn.MAXIFS($C$7:$C$1006,$A$7:$A$1006,A941,$C$7:$C$1006,"&lt;"&amp;C941)))</f>
        <v/>
      </c>
      <c r="J941" s="68">
        <f>IF(I941="","",I941/TpM)</f>
        <v/>
      </c>
      <c r="K941" s="69">
        <f>IF(H941="","",COUNTIFS($A$7:$A$1006,A941,$C$7:$C$1006,"&gt;0")-H941)</f>
        <v/>
      </c>
      <c r="L941" s="69">
        <f>IF(H941="","",A941&amp;"|"&amp;H941)</f>
        <v/>
      </c>
      <c r="M941" s="69">
        <f>IF(A941="","",IFERROR(INDEX(Bestand!$AC$14:$AC$213,MATCH(A941,Bestand!$A$14:$A$213,0)),0))</f>
        <v/>
      </c>
      <c r="N941" s="69">
        <f>IF(OR(H941="",M941&lt;&gt;1),"",C941+ROW()/100000)</f>
        <v/>
      </c>
    </row>
    <row r="942" ht="20" customHeight="1">
      <c r="A942" s="60" t="n"/>
      <c r="B942" s="65">
        <f>IF(A942="","",IFERROR(INDEX(Bestand!$B$14:$B$213,MATCH(A942,Bestand!$A$14:$A$213,0)),"ID unbekannt"))</f>
        <v/>
      </c>
      <c r="C942" s="63" t="n"/>
      <c r="D942" s="62" t="n"/>
      <c r="E942" s="60" t="n"/>
      <c r="F942" s="60" t="n"/>
      <c r="G942" s="61" t="n"/>
      <c r="H942" s="69">
        <f>IF(OR(A942="",C942=""),"",COUNTIFS($A$7:$A$1006,A942,$C$7:$C$1006,"&lt;"&amp;C942)+1)</f>
        <v/>
      </c>
      <c r="I942" s="67">
        <f>IF(H942="","",IF(H942=1,"",C942-_xlfn.MAXIFS($C$7:$C$1006,$A$7:$A$1006,A942,$C$7:$C$1006,"&lt;"&amp;C942)))</f>
        <v/>
      </c>
      <c r="J942" s="68">
        <f>IF(I942="","",I942/TpM)</f>
        <v/>
      </c>
      <c r="K942" s="69">
        <f>IF(H942="","",COUNTIFS($A$7:$A$1006,A942,$C$7:$C$1006,"&gt;0")-H942)</f>
        <v/>
      </c>
      <c r="L942" s="69">
        <f>IF(H942="","",A942&amp;"|"&amp;H942)</f>
        <v/>
      </c>
      <c r="M942" s="69">
        <f>IF(A942="","",IFERROR(INDEX(Bestand!$AC$14:$AC$213,MATCH(A942,Bestand!$A$14:$A$213,0)),0))</f>
        <v/>
      </c>
      <c r="N942" s="69">
        <f>IF(OR(H942="",M942&lt;&gt;1),"",C942+ROW()/100000)</f>
        <v/>
      </c>
    </row>
    <row r="943" ht="20" customHeight="1">
      <c r="A943" s="60" t="n"/>
      <c r="B943" s="65">
        <f>IF(A943="","",IFERROR(INDEX(Bestand!$B$14:$B$213,MATCH(A943,Bestand!$A$14:$A$213,0)),"ID unbekannt"))</f>
        <v/>
      </c>
      <c r="C943" s="63" t="n"/>
      <c r="D943" s="62" t="n"/>
      <c r="E943" s="60" t="n"/>
      <c r="F943" s="60" t="n"/>
      <c r="G943" s="61" t="n"/>
      <c r="H943" s="69">
        <f>IF(OR(A943="",C943=""),"",COUNTIFS($A$7:$A$1006,A943,$C$7:$C$1006,"&lt;"&amp;C943)+1)</f>
        <v/>
      </c>
      <c r="I943" s="67">
        <f>IF(H943="","",IF(H943=1,"",C943-_xlfn.MAXIFS($C$7:$C$1006,$A$7:$A$1006,A943,$C$7:$C$1006,"&lt;"&amp;C943)))</f>
        <v/>
      </c>
      <c r="J943" s="68">
        <f>IF(I943="","",I943/TpM)</f>
        <v/>
      </c>
      <c r="K943" s="69">
        <f>IF(H943="","",COUNTIFS($A$7:$A$1006,A943,$C$7:$C$1006,"&gt;0")-H943)</f>
        <v/>
      </c>
      <c r="L943" s="69">
        <f>IF(H943="","",A943&amp;"|"&amp;H943)</f>
        <v/>
      </c>
      <c r="M943" s="69">
        <f>IF(A943="","",IFERROR(INDEX(Bestand!$AC$14:$AC$213,MATCH(A943,Bestand!$A$14:$A$213,0)),0))</f>
        <v/>
      </c>
      <c r="N943" s="69">
        <f>IF(OR(H943="",M943&lt;&gt;1),"",C943+ROW()/100000)</f>
        <v/>
      </c>
    </row>
    <row r="944" ht="20" customHeight="1">
      <c r="A944" s="60" t="n"/>
      <c r="B944" s="65">
        <f>IF(A944="","",IFERROR(INDEX(Bestand!$B$14:$B$213,MATCH(A944,Bestand!$A$14:$A$213,0)),"ID unbekannt"))</f>
        <v/>
      </c>
      <c r="C944" s="63" t="n"/>
      <c r="D944" s="62" t="n"/>
      <c r="E944" s="60" t="n"/>
      <c r="F944" s="60" t="n"/>
      <c r="G944" s="61" t="n"/>
      <c r="H944" s="69">
        <f>IF(OR(A944="",C944=""),"",COUNTIFS($A$7:$A$1006,A944,$C$7:$C$1006,"&lt;"&amp;C944)+1)</f>
        <v/>
      </c>
      <c r="I944" s="67">
        <f>IF(H944="","",IF(H944=1,"",C944-_xlfn.MAXIFS($C$7:$C$1006,$A$7:$A$1006,A944,$C$7:$C$1006,"&lt;"&amp;C944)))</f>
        <v/>
      </c>
      <c r="J944" s="68">
        <f>IF(I944="","",I944/TpM)</f>
        <v/>
      </c>
      <c r="K944" s="69">
        <f>IF(H944="","",COUNTIFS($A$7:$A$1006,A944,$C$7:$C$1006,"&gt;0")-H944)</f>
        <v/>
      </c>
      <c r="L944" s="69">
        <f>IF(H944="","",A944&amp;"|"&amp;H944)</f>
        <v/>
      </c>
      <c r="M944" s="69">
        <f>IF(A944="","",IFERROR(INDEX(Bestand!$AC$14:$AC$213,MATCH(A944,Bestand!$A$14:$A$213,0)),0))</f>
        <v/>
      </c>
      <c r="N944" s="69">
        <f>IF(OR(H944="",M944&lt;&gt;1),"",C944+ROW()/100000)</f>
        <v/>
      </c>
    </row>
    <row r="945" ht="20" customHeight="1">
      <c r="A945" s="60" t="n"/>
      <c r="B945" s="65">
        <f>IF(A945="","",IFERROR(INDEX(Bestand!$B$14:$B$213,MATCH(A945,Bestand!$A$14:$A$213,0)),"ID unbekannt"))</f>
        <v/>
      </c>
      <c r="C945" s="63" t="n"/>
      <c r="D945" s="62" t="n"/>
      <c r="E945" s="60" t="n"/>
      <c r="F945" s="60" t="n"/>
      <c r="G945" s="61" t="n"/>
      <c r="H945" s="69">
        <f>IF(OR(A945="",C945=""),"",COUNTIFS($A$7:$A$1006,A945,$C$7:$C$1006,"&lt;"&amp;C945)+1)</f>
        <v/>
      </c>
      <c r="I945" s="67">
        <f>IF(H945="","",IF(H945=1,"",C945-_xlfn.MAXIFS($C$7:$C$1006,$A$7:$A$1006,A945,$C$7:$C$1006,"&lt;"&amp;C945)))</f>
        <v/>
      </c>
      <c r="J945" s="68">
        <f>IF(I945="","",I945/TpM)</f>
        <v/>
      </c>
      <c r="K945" s="69">
        <f>IF(H945="","",COUNTIFS($A$7:$A$1006,A945,$C$7:$C$1006,"&gt;0")-H945)</f>
        <v/>
      </c>
      <c r="L945" s="69">
        <f>IF(H945="","",A945&amp;"|"&amp;H945)</f>
        <v/>
      </c>
      <c r="M945" s="69">
        <f>IF(A945="","",IFERROR(INDEX(Bestand!$AC$14:$AC$213,MATCH(A945,Bestand!$A$14:$A$213,0)),0))</f>
        <v/>
      </c>
      <c r="N945" s="69">
        <f>IF(OR(H945="",M945&lt;&gt;1),"",C945+ROW()/100000)</f>
        <v/>
      </c>
    </row>
    <row r="946" ht="20" customHeight="1">
      <c r="A946" s="60" t="n"/>
      <c r="B946" s="65">
        <f>IF(A946="","",IFERROR(INDEX(Bestand!$B$14:$B$213,MATCH(A946,Bestand!$A$14:$A$213,0)),"ID unbekannt"))</f>
        <v/>
      </c>
      <c r="C946" s="63" t="n"/>
      <c r="D946" s="62" t="n"/>
      <c r="E946" s="60" t="n"/>
      <c r="F946" s="60" t="n"/>
      <c r="G946" s="61" t="n"/>
      <c r="H946" s="69">
        <f>IF(OR(A946="",C946=""),"",COUNTIFS($A$7:$A$1006,A946,$C$7:$C$1006,"&lt;"&amp;C946)+1)</f>
        <v/>
      </c>
      <c r="I946" s="67">
        <f>IF(H946="","",IF(H946=1,"",C946-_xlfn.MAXIFS($C$7:$C$1006,$A$7:$A$1006,A946,$C$7:$C$1006,"&lt;"&amp;C946)))</f>
        <v/>
      </c>
      <c r="J946" s="68">
        <f>IF(I946="","",I946/TpM)</f>
        <v/>
      </c>
      <c r="K946" s="69">
        <f>IF(H946="","",COUNTIFS($A$7:$A$1006,A946,$C$7:$C$1006,"&gt;0")-H946)</f>
        <v/>
      </c>
      <c r="L946" s="69">
        <f>IF(H946="","",A946&amp;"|"&amp;H946)</f>
        <v/>
      </c>
      <c r="M946" s="69">
        <f>IF(A946="","",IFERROR(INDEX(Bestand!$AC$14:$AC$213,MATCH(A946,Bestand!$A$14:$A$213,0)),0))</f>
        <v/>
      </c>
      <c r="N946" s="69">
        <f>IF(OR(H946="",M946&lt;&gt;1),"",C946+ROW()/100000)</f>
        <v/>
      </c>
    </row>
    <row r="947" ht="20" customHeight="1">
      <c r="A947" s="60" t="n"/>
      <c r="B947" s="65">
        <f>IF(A947="","",IFERROR(INDEX(Bestand!$B$14:$B$213,MATCH(A947,Bestand!$A$14:$A$213,0)),"ID unbekannt"))</f>
        <v/>
      </c>
      <c r="C947" s="63" t="n"/>
      <c r="D947" s="62" t="n"/>
      <c r="E947" s="60" t="n"/>
      <c r="F947" s="60" t="n"/>
      <c r="G947" s="61" t="n"/>
      <c r="H947" s="69">
        <f>IF(OR(A947="",C947=""),"",COUNTIFS($A$7:$A$1006,A947,$C$7:$C$1006,"&lt;"&amp;C947)+1)</f>
        <v/>
      </c>
      <c r="I947" s="67">
        <f>IF(H947="","",IF(H947=1,"",C947-_xlfn.MAXIFS($C$7:$C$1006,$A$7:$A$1006,A947,$C$7:$C$1006,"&lt;"&amp;C947)))</f>
        <v/>
      </c>
      <c r="J947" s="68">
        <f>IF(I947="","",I947/TpM)</f>
        <v/>
      </c>
      <c r="K947" s="69">
        <f>IF(H947="","",COUNTIFS($A$7:$A$1006,A947,$C$7:$C$1006,"&gt;0")-H947)</f>
        <v/>
      </c>
      <c r="L947" s="69">
        <f>IF(H947="","",A947&amp;"|"&amp;H947)</f>
        <v/>
      </c>
      <c r="M947" s="69">
        <f>IF(A947="","",IFERROR(INDEX(Bestand!$AC$14:$AC$213,MATCH(A947,Bestand!$A$14:$A$213,0)),0))</f>
        <v/>
      </c>
      <c r="N947" s="69">
        <f>IF(OR(H947="",M947&lt;&gt;1),"",C947+ROW()/100000)</f>
        <v/>
      </c>
    </row>
    <row r="948" ht="20" customHeight="1">
      <c r="A948" s="60" t="n"/>
      <c r="B948" s="65">
        <f>IF(A948="","",IFERROR(INDEX(Bestand!$B$14:$B$213,MATCH(A948,Bestand!$A$14:$A$213,0)),"ID unbekannt"))</f>
        <v/>
      </c>
      <c r="C948" s="63" t="n"/>
      <c r="D948" s="62" t="n"/>
      <c r="E948" s="60" t="n"/>
      <c r="F948" s="60" t="n"/>
      <c r="G948" s="61" t="n"/>
      <c r="H948" s="69">
        <f>IF(OR(A948="",C948=""),"",COUNTIFS($A$7:$A$1006,A948,$C$7:$C$1006,"&lt;"&amp;C948)+1)</f>
        <v/>
      </c>
      <c r="I948" s="67">
        <f>IF(H948="","",IF(H948=1,"",C948-_xlfn.MAXIFS($C$7:$C$1006,$A$7:$A$1006,A948,$C$7:$C$1006,"&lt;"&amp;C948)))</f>
        <v/>
      </c>
      <c r="J948" s="68">
        <f>IF(I948="","",I948/TpM)</f>
        <v/>
      </c>
      <c r="K948" s="69">
        <f>IF(H948="","",COUNTIFS($A$7:$A$1006,A948,$C$7:$C$1006,"&gt;0")-H948)</f>
        <v/>
      </c>
      <c r="L948" s="69">
        <f>IF(H948="","",A948&amp;"|"&amp;H948)</f>
        <v/>
      </c>
      <c r="M948" s="69">
        <f>IF(A948="","",IFERROR(INDEX(Bestand!$AC$14:$AC$213,MATCH(A948,Bestand!$A$14:$A$213,0)),0))</f>
        <v/>
      </c>
      <c r="N948" s="69">
        <f>IF(OR(H948="",M948&lt;&gt;1),"",C948+ROW()/100000)</f>
        <v/>
      </c>
    </row>
    <row r="949" ht="20" customHeight="1">
      <c r="A949" s="60" t="n"/>
      <c r="B949" s="65">
        <f>IF(A949="","",IFERROR(INDEX(Bestand!$B$14:$B$213,MATCH(A949,Bestand!$A$14:$A$213,0)),"ID unbekannt"))</f>
        <v/>
      </c>
      <c r="C949" s="63" t="n"/>
      <c r="D949" s="62" t="n"/>
      <c r="E949" s="60" t="n"/>
      <c r="F949" s="60" t="n"/>
      <c r="G949" s="61" t="n"/>
      <c r="H949" s="69">
        <f>IF(OR(A949="",C949=""),"",COUNTIFS($A$7:$A$1006,A949,$C$7:$C$1006,"&lt;"&amp;C949)+1)</f>
        <v/>
      </c>
      <c r="I949" s="67">
        <f>IF(H949="","",IF(H949=1,"",C949-_xlfn.MAXIFS($C$7:$C$1006,$A$7:$A$1006,A949,$C$7:$C$1006,"&lt;"&amp;C949)))</f>
        <v/>
      </c>
      <c r="J949" s="68">
        <f>IF(I949="","",I949/TpM)</f>
        <v/>
      </c>
      <c r="K949" s="69">
        <f>IF(H949="","",COUNTIFS($A$7:$A$1006,A949,$C$7:$C$1006,"&gt;0")-H949)</f>
        <v/>
      </c>
      <c r="L949" s="69">
        <f>IF(H949="","",A949&amp;"|"&amp;H949)</f>
        <v/>
      </c>
      <c r="M949" s="69">
        <f>IF(A949="","",IFERROR(INDEX(Bestand!$AC$14:$AC$213,MATCH(A949,Bestand!$A$14:$A$213,0)),0))</f>
        <v/>
      </c>
      <c r="N949" s="69">
        <f>IF(OR(H949="",M949&lt;&gt;1),"",C949+ROW()/100000)</f>
        <v/>
      </c>
    </row>
    <row r="950" ht="20" customHeight="1">
      <c r="A950" s="60" t="n"/>
      <c r="B950" s="65">
        <f>IF(A950="","",IFERROR(INDEX(Bestand!$B$14:$B$213,MATCH(A950,Bestand!$A$14:$A$213,0)),"ID unbekannt"))</f>
        <v/>
      </c>
      <c r="C950" s="63" t="n"/>
      <c r="D950" s="62" t="n"/>
      <c r="E950" s="60" t="n"/>
      <c r="F950" s="60" t="n"/>
      <c r="G950" s="61" t="n"/>
      <c r="H950" s="69">
        <f>IF(OR(A950="",C950=""),"",COUNTIFS($A$7:$A$1006,A950,$C$7:$C$1006,"&lt;"&amp;C950)+1)</f>
        <v/>
      </c>
      <c r="I950" s="67">
        <f>IF(H950="","",IF(H950=1,"",C950-_xlfn.MAXIFS($C$7:$C$1006,$A$7:$A$1006,A950,$C$7:$C$1006,"&lt;"&amp;C950)))</f>
        <v/>
      </c>
      <c r="J950" s="68">
        <f>IF(I950="","",I950/TpM)</f>
        <v/>
      </c>
      <c r="K950" s="69">
        <f>IF(H950="","",COUNTIFS($A$7:$A$1006,A950,$C$7:$C$1006,"&gt;0")-H950)</f>
        <v/>
      </c>
      <c r="L950" s="69">
        <f>IF(H950="","",A950&amp;"|"&amp;H950)</f>
        <v/>
      </c>
      <c r="M950" s="69">
        <f>IF(A950="","",IFERROR(INDEX(Bestand!$AC$14:$AC$213,MATCH(A950,Bestand!$A$14:$A$213,0)),0))</f>
        <v/>
      </c>
      <c r="N950" s="69">
        <f>IF(OR(H950="",M950&lt;&gt;1),"",C950+ROW()/100000)</f>
        <v/>
      </c>
    </row>
    <row r="951" ht="20" customHeight="1">
      <c r="A951" s="60" t="n"/>
      <c r="B951" s="65">
        <f>IF(A951="","",IFERROR(INDEX(Bestand!$B$14:$B$213,MATCH(A951,Bestand!$A$14:$A$213,0)),"ID unbekannt"))</f>
        <v/>
      </c>
      <c r="C951" s="63" t="n"/>
      <c r="D951" s="62" t="n"/>
      <c r="E951" s="60" t="n"/>
      <c r="F951" s="60" t="n"/>
      <c r="G951" s="61" t="n"/>
      <c r="H951" s="69">
        <f>IF(OR(A951="",C951=""),"",COUNTIFS($A$7:$A$1006,A951,$C$7:$C$1006,"&lt;"&amp;C951)+1)</f>
        <v/>
      </c>
      <c r="I951" s="67">
        <f>IF(H951="","",IF(H951=1,"",C951-_xlfn.MAXIFS($C$7:$C$1006,$A$7:$A$1006,A951,$C$7:$C$1006,"&lt;"&amp;C951)))</f>
        <v/>
      </c>
      <c r="J951" s="68">
        <f>IF(I951="","",I951/TpM)</f>
        <v/>
      </c>
      <c r="K951" s="69">
        <f>IF(H951="","",COUNTIFS($A$7:$A$1006,A951,$C$7:$C$1006,"&gt;0")-H951)</f>
        <v/>
      </c>
      <c r="L951" s="69">
        <f>IF(H951="","",A951&amp;"|"&amp;H951)</f>
        <v/>
      </c>
      <c r="M951" s="69">
        <f>IF(A951="","",IFERROR(INDEX(Bestand!$AC$14:$AC$213,MATCH(A951,Bestand!$A$14:$A$213,0)),0))</f>
        <v/>
      </c>
      <c r="N951" s="69">
        <f>IF(OR(H951="",M951&lt;&gt;1),"",C951+ROW()/100000)</f>
        <v/>
      </c>
    </row>
    <row r="952" ht="20" customHeight="1">
      <c r="A952" s="60" t="n"/>
      <c r="B952" s="65">
        <f>IF(A952="","",IFERROR(INDEX(Bestand!$B$14:$B$213,MATCH(A952,Bestand!$A$14:$A$213,0)),"ID unbekannt"))</f>
        <v/>
      </c>
      <c r="C952" s="63" t="n"/>
      <c r="D952" s="62" t="n"/>
      <c r="E952" s="60" t="n"/>
      <c r="F952" s="60" t="n"/>
      <c r="G952" s="61" t="n"/>
      <c r="H952" s="69">
        <f>IF(OR(A952="",C952=""),"",COUNTIFS($A$7:$A$1006,A952,$C$7:$C$1006,"&lt;"&amp;C952)+1)</f>
        <v/>
      </c>
      <c r="I952" s="67">
        <f>IF(H952="","",IF(H952=1,"",C952-_xlfn.MAXIFS($C$7:$C$1006,$A$7:$A$1006,A952,$C$7:$C$1006,"&lt;"&amp;C952)))</f>
        <v/>
      </c>
      <c r="J952" s="68">
        <f>IF(I952="","",I952/TpM)</f>
        <v/>
      </c>
      <c r="K952" s="69">
        <f>IF(H952="","",COUNTIFS($A$7:$A$1006,A952,$C$7:$C$1006,"&gt;0")-H952)</f>
        <v/>
      </c>
      <c r="L952" s="69">
        <f>IF(H952="","",A952&amp;"|"&amp;H952)</f>
        <v/>
      </c>
      <c r="M952" s="69">
        <f>IF(A952="","",IFERROR(INDEX(Bestand!$AC$14:$AC$213,MATCH(A952,Bestand!$A$14:$A$213,0)),0))</f>
        <v/>
      </c>
      <c r="N952" s="69">
        <f>IF(OR(H952="",M952&lt;&gt;1),"",C952+ROW()/100000)</f>
        <v/>
      </c>
    </row>
    <row r="953" ht="20" customHeight="1">
      <c r="A953" s="60" t="n"/>
      <c r="B953" s="65">
        <f>IF(A953="","",IFERROR(INDEX(Bestand!$B$14:$B$213,MATCH(A953,Bestand!$A$14:$A$213,0)),"ID unbekannt"))</f>
        <v/>
      </c>
      <c r="C953" s="63" t="n"/>
      <c r="D953" s="62" t="n"/>
      <c r="E953" s="60" t="n"/>
      <c r="F953" s="60" t="n"/>
      <c r="G953" s="61" t="n"/>
      <c r="H953" s="69">
        <f>IF(OR(A953="",C953=""),"",COUNTIFS($A$7:$A$1006,A953,$C$7:$C$1006,"&lt;"&amp;C953)+1)</f>
        <v/>
      </c>
      <c r="I953" s="67">
        <f>IF(H953="","",IF(H953=1,"",C953-_xlfn.MAXIFS($C$7:$C$1006,$A$7:$A$1006,A953,$C$7:$C$1006,"&lt;"&amp;C953)))</f>
        <v/>
      </c>
      <c r="J953" s="68">
        <f>IF(I953="","",I953/TpM)</f>
        <v/>
      </c>
      <c r="K953" s="69">
        <f>IF(H953="","",COUNTIFS($A$7:$A$1006,A953,$C$7:$C$1006,"&gt;0")-H953)</f>
        <v/>
      </c>
      <c r="L953" s="69">
        <f>IF(H953="","",A953&amp;"|"&amp;H953)</f>
        <v/>
      </c>
      <c r="M953" s="69">
        <f>IF(A953="","",IFERROR(INDEX(Bestand!$AC$14:$AC$213,MATCH(A953,Bestand!$A$14:$A$213,0)),0))</f>
        <v/>
      </c>
      <c r="N953" s="69">
        <f>IF(OR(H953="",M953&lt;&gt;1),"",C953+ROW()/100000)</f>
        <v/>
      </c>
    </row>
    <row r="954" ht="20" customHeight="1">
      <c r="A954" s="60" t="n"/>
      <c r="B954" s="65">
        <f>IF(A954="","",IFERROR(INDEX(Bestand!$B$14:$B$213,MATCH(A954,Bestand!$A$14:$A$213,0)),"ID unbekannt"))</f>
        <v/>
      </c>
      <c r="C954" s="63" t="n"/>
      <c r="D954" s="62" t="n"/>
      <c r="E954" s="60" t="n"/>
      <c r="F954" s="60" t="n"/>
      <c r="G954" s="61" t="n"/>
      <c r="H954" s="69">
        <f>IF(OR(A954="",C954=""),"",COUNTIFS($A$7:$A$1006,A954,$C$7:$C$1006,"&lt;"&amp;C954)+1)</f>
        <v/>
      </c>
      <c r="I954" s="67">
        <f>IF(H954="","",IF(H954=1,"",C954-_xlfn.MAXIFS($C$7:$C$1006,$A$7:$A$1006,A954,$C$7:$C$1006,"&lt;"&amp;C954)))</f>
        <v/>
      </c>
      <c r="J954" s="68">
        <f>IF(I954="","",I954/TpM)</f>
        <v/>
      </c>
      <c r="K954" s="69">
        <f>IF(H954="","",COUNTIFS($A$7:$A$1006,A954,$C$7:$C$1006,"&gt;0")-H954)</f>
        <v/>
      </c>
      <c r="L954" s="69">
        <f>IF(H954="","",A954&amp;"|"&amp;H954)</f>
        <v/>
      </c>
      <c r="M954" s="69">
        <f>IF(A954="","",IFERROR(INDEX(Bestand!$AC$14:$AC$213,MATCH(A954,Bestand!$A$14:$A$213,0)),0))</f>
        <v/>
      </c>
      <c r="N954" s="69">
        <f>IF(OR(H954="",M954&lt;&gt;1),"",C954+ROW()/100000)</f>
        <v/>
      </c>
    </row>
    <row r="955" ht="20" customHeight="1">
      <c r="A955" s="60" t="n"/>
      <c r="B955" s="65">
        <f>IF(A955="","",IFERROR(INDEX(Bestand!$B$14:$B$213,MATCH(A955,Bestand!$A$14:$A$213,0)),"ID unbekannt"))</f>
        <v/>
      </c>
      <c r="C955" s="63" t="n"/>
      <c r="D955" s="62" t="n"/>
      <c r="E955" s="60" t="n"/>
      <c r="F955" s="60" t="n"/>
      <c r="G955" s="61" t="n"/>
      <c r="H955" s="69">
        <f>IF(OR(A955="",C955=""),"",COUNTIFS($A$7:$A$1006,A955,$C$7:$C$1006,"&lt;"&amp;C955)+1)</f>
        <v/>
      </c>
      <c r="I955" s="67">
        <f>IF(H955="","",IF(H955=1,"",C955-_xlfn.MAXIFS($C$7:$C$1006,$A$7:$A$1006,A955,$C$7:$C$1006,"&lt;"&amp;C955)))</f>
        <v/>
      </c>
      <c r="J955" s="68">
        <f>IF(I955="","",I955/TpM)</f>
        <v/>
      </c>
      <c r="K955" s="69">
        <f>IF(H955="","",COUNTIFS($A$7:$A$1006,A955,$C$7:$C$1006,"&gt;0")-H955)</f>
        <v/>
      </c>
      <c r="L955" s="69">
        <f>IF(H955="","",A955&amp;"|"&amp;H955)</f>
        <v/>
      </c>
      <c r="M955" s="69">
        <f>IF(A955="","",IFERROR(INDEX(Bestand!$AC$14:$AC$213,MATCH(A955,Bestand!$A$14:$A$213,0)),0))</f>
        <v/>
      </c>
      <c r="N955" s="69">
        <f>IF(OR(H955="",M955&lt;&gt;1),"",C955+ROW()/100000)</f>
        <v/>
      </c>
    </row>
    <row r="956" ht="20" customHeight="1">
      <c r="A956" s="60" t="n"/>
      <c r="B956" s="65">
        <f>IF(A956="","",IFERROR(INDEX(Bestand!$B$14:$B$213,MATCH(A956,Bestand!$A$14:$A$213,0)),"ID unbekannt"))</f>
        <v/>
      </c>
      <c r="C956" s="63" t="n"/>
      <c r="D956" s="62" t="n"/>
      <c r="E956" s="60" t="n"/>
      <c r="F956" s="60" t="n"/>
      <c r="G956" s="61" t="n"/>
      <c r="H956" s="69">
        <f>IF(OR(A956="",C956=""),"",COUNTIFS($A$7:$A$1006,A956,$C$7:$C$1006,"&lt;"&amp;C956)+1)</f>
        <v/>
      </c>
      <c r="I956" s="67">
        <f>IF(H956="","",IF(H956=1,"",C956-_xlfn.MAXIFS($C$7:$C$1006,$A$7:$A$1006,A956,$C$7:$C$1006,"&lt;"&amp;C956)))</f>
        <v/>
      </c>
      <c r="J956" s="68">
        <f>IF(I956="","",I956/TpM)</f>
        <v/>
      </c>
      <c r="K956" s="69">
        <f>IF(H956="","",COUNTIFS($A$7:$A$1006,A956,$C$7:$C$1006,"&gt;0")-H956)</f>
        <v/>
      </c>
      <c r="L956" s="69">
        <f>IF(H956="","",A956&amp;"|"&amp;H956)</f>
        <v/>
      </c>
      <c r="M956" s="69">
        <f>IF(A956="","",IFERROR(INDEX(Bestand!$AC$14:$AC$213,MATCH(A956,Bestand!$A$14:$A$213,0)),0))</f>
        <v/>
      </c>
      <c r="N956" s="69">
        <f>IF(OR(H956="",M956&lt;&gt;1),"",C956+ROW()/100000)</f>
        <v/>
      </c>
    </row>
    <row r="957" ht="20" customHeight="1">
      <c r="A957" s="60" t="n"/>
      <c r="B957" s="65">
        <f>IF(A957="","",IFERROR(INDEX(Bestand!$B$14:$B$213,MATCH(A957,Bestand!$A$14:$A$213,0)),"ID unbekannt"))</f>
        <v/>
      </c>
      <c r="C957" s="63" t="n"/>
      <c r="D957" s="62" t="n"/>
      <c r="E957" s="60" t="n"/>
      <c r="F957" s="60" t="n"/>
      <c r="G957" s="61" t="n"/>
      <c r="H957" s="69">
        <f>IF(OR(A957="",C957=""),"",COUNTIFS($A$7:$A$1006,A957,$C$7:$C$1006,"&lt;"&amp;C957)+1)</f>
        <v/>
      </c>
      <c r="I957" s="67">
        <f>IF(H957="","",IF(H957=1,"",C957-_xlfn.MAXIFS($C$7:$C$1006,$A$7:$A$1006,A957,$C$7:$C$1006,"&lt;"&amp;C957)))</f>
        <v/>
      </c>
      <c r="J957" s="68">
        <f>IF(I957="","",I957/TpM)</f>
        <v/>
      </c>
      <c r="K957" s="69">
        <f>IF(H957="","",COUNTIFS($A$7:$A$1006,A957,$C$7:$C$1006,"&gt;0")-H957)</f>
        <v/>
      </c>
      <c r="L957" s="69">
        <f>IF(H957="","",A957&amp;"|"&amp;H957)</f>
        <v/>
      </c>
      <c r="M957" s="69">
        <f>IF(A957="","",IFERROR(INDEX(Bestand!$AC$14:$AC$213,MATCH(A957,Bestand!$A$14:$A$213,0)),0))</f>
        <v/>
      </c>
      <c r="N957" s="69">
        <f>IF(OR(H957="",M957&lt;&gt;1),"",C957+ROW()/100000)</f>
        <v/>
      </c>
    </row>
    <row r="958" ht="20" customHeight="1">
      <c r="A958" s="60" t="n"/>
      <c r="B958" s="65">
        <f>IF(A958="","",IFERROR(INDEX(Bestand!$B$14:$B$213,MATCH(A958,Bestand!$A$14:$A$213,0)),"ID unbekannt"))</f>
        <v/>
      </c>
      <c r="C958" s="63" t="n"/>
      <c r="D958" s="62" t="n"/>
      <c r="E958" s="60" t="n"/>
      <c r="F958" s="60" t="n"/>
      <c r="G958" s="61" t="n"/>
      <c r="H958" s="69">
        <f>IF(OR(A958="",C958=""),"",COUNTIFS($A$7:$A$1006,A958,$C$7:$C$1006,"&lt;"&amp;C958)+1)</f>
        <v/>
      </c>
      <c r="I958" s="67">
        <f>IF(H958="","",IF(H958=1,"",C958-_xlfn.MAXIFS($C$7:$C$1006,$A$7:$A$1006,A958,$C$7:$C$1006,"&lt;"&amp;C958)))</f>
        <v/>
      </c>
      <c r="J958" s="68">
        <f>IF(I958="","",I958/TpM)</f>
        <v/>
      </c>
      <c r="K958" s="69">
        <f>IF(H958="","",COUNTIFS($A$7:$A$1006,A958,$C$7:$C$1006,"&gt;0")-H958)</f>
        <v/>
      </c>
      <c r="L958" s="69">
        <f>IF(H958="","",A958&amp;"|"&amp;H958)</f>
        <v/>
      </c>
      <c r="M958" s="69">
        <f>IF(A958="","",IFERROR(INDEX(Bestand!$AC$14:$AC$213,MATCH(A958,Bestand!$A$14:$A$213,0)),0))</f>
        <v/>
      </c>
      <c r="N958" s="69">
        <f>IF(OR(H958="",M958&lt;&gt;1),"",C958+ROW()/100000)</f>
        <v/>
      </c>
    </row>
    <row r="959" ht="20" customHeight="1">
      <c r="A959" s="60" t="n"/>
      <c r="B959" s="65">
        <f>IF(A959="","",IFERROR(INDEX(Bestand!$B$14:$B$213,MATCH(A959,Bestand!$A$14:$A$213,0)),"ID unbekannt"))</f>
        <v/>
      </c>
      <c r="C959" s="63" t="n"/>
      <c r="D959" s="62" t="n"/>
      <c r="E959" s="60" t="n"/>
      <c r="F959" s="60" t="n"/>
      <c r="G959" s="61" t="n"/>
      <c r="H959" s="69">
        <f>IF(OR(A959="",C959=""),"",COUNTIFS($A$7:$A$1006,A959,$C$7:$C$1006,"&lt;"&amp;C959)+1)</f>
        <v/>
      </c>
      <c r="I959" s="67">
        <f>IF(H959="","",IF(H959=1,"",C959-_xlfn.MAXIFS($C$7:$C$1006,$A$7:$A$1006,A959,$C$7:$C$1006,"&lt;"&amp;C959)))</f>
        <v/>
      </c>
      <c r="J959" s="68">
        <f>IF(I959="","",I959/TpM)</f>
        <v/>
      </c>
      <c r="K959" s="69">
        <f>IF(H959="","",COUNTIFS($A$7:$A$1006,A959,$C$7:$C$1006,"&gt;0")-H959)</f>
        <v/>
      </c>
      <c r="L959" s="69">
        <f>IF(H959="","",A959&amp;"|"&amp;H959)</f>
        <v/>
      </c>
      <c r="M959" s="69">
        <f>IF(A959="","",IFERROR(INDEX(Bestand!$AC$14:$AC$213,MATCH(A959,Bestand!$A$14:$A$213,0)),0))</f>
        <v/>
      </c>
      <c r="N959" s="69">
        <f>IF(OR(H959="",M959&lt;&gt;1),"",C959+ROW()/100000)</f>
        <v/>
      </c>
    </row>
    <row r="960" ht="20" customHeight="1">
      <c r="A960" s="60" t="n"/>
      <c r="B960" s="65">
        <f>IF(A960="","",IFERROR(INDEX(Bestand!$B$14:$B$213,MATCH(A960,Bestand!$A$14:$A$213,0)),"ID unbekannt"))</f>
        <v/>
      </c>
      <c r="C960" s="63" t="n"/>
      <c r="D960" s="62" t="n"/>
      <c r="E960" s="60" t="n"/>
      <c r="F960" s="60" t="n"/>
      <c r="G960" s="61" t="n"/>
      <c r="H960" s="69">
        <f>IF(OR(A960="",C960=""),"",COUNTIFS($A$7:$A$1006,A960,$C$7:$C$1006,"&lt;"&amp;C960)+1)</f>
        <v/>
      </c>
      <c r="I960" s="67">
        <f>IF(H960="","",IF(H960=1,"",C960-_xlfn.MAXIFS($C$7:$C$1006,$A$7:$A$1006,A960,$C$7:$C$1006,"&lt;"&amp;C960)))</f>
        <v/>
      </c>
      <c r="J960" s="68">
        <f>IF(I960="","",I960/TpM)</f>
        <v/>
      </c>
      <c r="K960" s="69">
        <f>IF(H960="","",COUNTIFS($A$7:$A$1006,A960,$C$7:$C$1006,"&gt;0")-H960)</f>
        <v/>
      </c>
      <c r="L960" s="69">
        <f>IF(H960="","",A960&amp;"|"&amp;H960)</f>
        <v/>
      </c>
      <c r="M960" s="69">
        <f>IF(A960="","",IFERROR(INDEX(Bestand!$AC$14:$AC$213,MATCH(A960,Bestand!$A$14:$A$213,0)),0))</f>
        <v/>
      </c>
      <c r="N960" s="69">
        <f>IF(OR(H960="",M960&lt;&gt;1),"",C960+ROW()/100000)</f>
        <v/>
      </c>
    </row>
    <row r="961" ht="20" customHeight="1">
      <c r="A961" s="60" t="n"/>
      <c r="B961" s="65">
        <f>IF(A961="","",IFERROR(INDEX(Bestand!$B$14:$B$213,MATCH(A961,Bestand!$A$14:$A$213,0)),"ID unbekannt"))</f>
        <v/>
      </c>
      <c r="C961" s="63" t="n"/>
      <c r="D961" s="62" t="n"/>
      <c r="E961" s="60" t="n"/>
      <c r="F961" s="60" t="n"/>
      <c r="G961" s="61" t="n"/>
      <c r="H961" s="69">
        <f>IF(OR(A961="",C961=""),"",COUNTIFS($A$7:$A$1006,A961,$C$7:$C$1006,"&lt;"&amp;C961)+1)</f>
        <v/>
      </c>
      <c r="I961" s="67">
        <f>IF(H961="","",IF(H961=1,"",C961-_xlfn.MAXIFS($C$7:$C$1006,$A$7:$A$1006,A961,$C$7:$C$1006,"&lt;"&amp;C961)))</f>
        <v/>
      </c>
      <c r="J961" s="68">
        <f>IF(I961="","",I961/TpM)</f>
        <v/>
      </c>
      <c r="K961" s="69">
        <f>IF(H961="","",COUNTIFS($A$7:$A$1006,A961,$C$7:$C$1006,"&gt;0")-H961)</f>
        <v/>
      </c>
      <c r="L961" s="69">
        <f>IF(H961="","",A961&amp;"|"&amp;H961)</f>
        <v/>
      </c>
      <c r="M961" s="69">
        <f>IF(A961="","",IFERROR(INDEX(Bestand!$AC$14:$AC$213,MATCH(A961,Bestand!$A$14:$A$213,0)),0))</f>
        <v/>
      </c>
      <c r="N961" s="69">
        <f>IF(OR(H961="",M961&lt;&gt;1),"",C961+ROW()/100000)</f>
        <v/>
      </c>
    </row>
    <row r="962" ht="20" customHeight="1">
      <c r="A962" s="60" t="n"/>
      <c r="B962" s="65">
        <f>IF(A962="","",IFERROR(INDEX(Bestand!$B$14:$B$213,MATCH(A962,Bestand!$A$14:$A$213,0)),"ID unbekannt"))</f>
        <v/>
      </c>
      <c r="C962" s="63" t="n"/>
      <c r="D962" s="62" t="n"/>
      <c r="E962" s="60" t="n"/>
      <c r="F962" s="60" t="n"/>
      <c r="G962" s="61" t="n"/>
      <c r="H962" s="69">
        <f>IF(OR(A962="",C962=""),"",COUNTIFS($A$7:$A$1006,A962,$C$7:$C$1006,"&lt;"&amp;C962)+1)</f>
        <v/>
      </c>
      <c r="I962" s="67">
        <f>IF(H962="","",IF(H962=1,"",C962-_xlfn.MAXIFS($C$7:$C$1006,$A$7:$A$1006,A962,$C$7:$C$1006,"&lt;"&amp;C962)))</f>
        <v/>
      </c>
      <c r="J962" s="68">
        <f>IF(I962="","",I962/TpM)</f>
        <v/>
      </c>
      <c r="K962" s="69">
        <f>IF(H962="","",COUNTIFS($A$7:$A$1006,A962,$C$7:$C$1006,"&gt;0")-H962)</f>
        <v/>
      </c>
      <c r="L962" s="69">
        <f>IF(H962="","",A962&amp;"|"&amp;H962)</f>
        <v/>
      </c>
      <c r="M962" s="69">
        <f>IF(A962="","",IFERROR(INDEX(Bestand!$AC$14:$AC$213,MATCH(A962,Bestand!$A$14:$A$213,0)),0))</f>
        <v/>
      </c>
      <c r="N962" s="69">
        <f>IF(OR(H962="",M962&lt;&gt;1),"",C962+ROW()/100000)</f>
        <v/>
      </c>
    </row>
    <row r="963" ht="20" customHeight="1">
      <c r="A963" s="60" t="n"/>
      <c r="B963" s="65">
        <f>IF(A963="","",IFERROR(INDEX(Bestand!$B$14:$B$213,MATCH(A963,Bestand!$A$14:$A$213,0)),"ID unbekannt"))</f>
        <v/>
      </c>
      <c r="C963" s="63" t="n"/>
      <c r="D963" s="62" t="n"/>
      <c r="E963" s="60" t="n"/>
      <c r="F963" s="60" t="n"/>
      <c r="G963" s="61" t="n"/>
      <c r="H963" s="69">
        <f>IF(OR(A963="",C963=""),"",COUNTIFS($A$7:$A$1006,A963,$C$7:$C$1006,"&lt;"&amp;C963)+1)</f>
        <v/>
      </c>
      <c r="I963" s="67">
        <f>IF(H963="","",IF(H963=1,"",C963-_xlfn.MAXIFS($C$7:$C$1006,$A$7:$A$1006,A963,$C$7:$C$1006,"&lt;"&amp;C963)))</f>
        <v/>
      </c>
      <c r="J963" s="68">
        <f>IF(I963="","",I963/TpM)</f>
        <v/>
      </c>
      <c r="K963" s="69">
        <f>IF(H963="","",COUNTIFS($A$7:$A$1006,A963,$C$7:$C$1006,"&gt;0")-H963)</f>
        <v/>
      </c>
      <c r="L963" s="69">
        <f>IF(H963="","",A963&amp;"|"&amp;H963)</f>
        <v/>
      </c>
      <c r="M963" s="69">
        <f>IF(A963="","",IFERROR(INDEX(Bestand!$AC$14:$AC$213,MATCH(A963,Bestand!$A$14:$A$213,0)),0))</f>
        <v/>
      </c>
      <c r="N963" s="69">
        <f>IF(OR(H963="",M963&lt;&gt;1),"",C963+ROW()/100000)</f>
        <v/>
      </c>
    </row>
    <row r="964" ht="20" customHeight="1">
      <c r="A964" s="60" t="n"/>
      <c r="B964" s="65">
        <f>IF(A964="","",IFERROR(INDEX(Bestand!$B$14:$B$213,MATCH(A964,Bestand!$A$14:$A$213,0)),"ID unbekannt"))</f>
        <v/>
      </c>
      <c r="C964" s="63" t="n"/>
      <c r="D964" s="62" t="n"/>
      <c r="E964" s="60" t="n"/>
      <c r="F964" s="60" t="n"/>
      <c r="G964" s="61" t="n"/>
      <c r="H964" s="69">
        <f>IF(OR(A964="",C964=""),"",COUNTIFS($A$7:$A$1006,A964,$C$7:$C$1006,"&lt;"&amp;C964)+1)</f>
        <v/>
      </c>
      <c r="I964" s="67">
        <f>IF(H964="","",IF(H964=1,"",C964-_xlfn.MAXIFS($C$7:$C$1006,$A$7:$A$1006,A964,$C$7:$C$1006,"&lt;"&amp;C964)))</f>
        <v/>
      </c>
      <c r="J964" s="68">
        <f>IF(I964="","",I964/TpM)</f>
        <v/>
      </c>
      <c r="K964" s="69">
        <f>IF(H964="","",COUNTIFS($A$7:$A$1006,A964,$C$7:$C$1006,"&gt;0")-H964)</f>
        <v/>
      </c>
      <c r="L964" s="69">
        <f>IF(H964="","",A964&amp;"|"&amp;H964)</f>
        <v/>
      </c>
      <c r="M964" s="69">
        <f>IF(A964="","",IFERROR(INDEX(Bestand!$AC$14:$AC$213,MATCH(A964,Bestand!$A$14:$A$213,0)),0))</f>
        <v/>
      </c>
      <c r="N964" s="69">
        <f>IF(OR(H964="",M964&lt;&gt;1),"",C964+ROW()/100000)</f>
        <v/>
      </c>
    </row>
    <row r="965" ht="20" customHeight="1">
      <c r="A965" s="60" t="n"/>
      <c r="B965" s="65">
        <f>IF(A965="","",IFERROR(INDEX(Bestand!$B$14:$B$213,MATCH(A965,Bestand!$A$14:$A$213,0)),"ID unbekannt"))</f>
        <v/>
      </c>
      <c r="C965" s="63" t="n"/>
      <c r="D965" s="62" t="n"/>
      <c r="E965" s="60" t="n"/>
      <c r="F965" s="60" t="n"/>
      <c r="G965" s="61" t="n"/>
      <c r="H965" s="69">
        <f>IF(OR(A965="",C965=""),"",COUNTIFS($A$7:$A$1006,A965,$C$7:$C$1006,"&lt;"&amp;C965)+1)</f>
        <v/>
      </c>
      <c r="I965" s="67">
        <f>IF(H965="","",IF(H965=1,"",C965-_xlfn.MAXIFS($C$7:$C$1006,$A$7:$A$1006,A965,$C$7:$C$1006,"&lt;"&amp;C965)))</f>
        <v/>
      </c>
      <c r="J965" s="68">
        <f>IF(I965="","",I965/TpM)</f>
        <v/>
      </c>
      <c r="K965" s="69">
        <f>IF(H965="","",COUNTIFS($A$7:$A$1006,A965,$C$7:$C$1006,"&gt;0")-H965)</f>
        <v/>
      </c>
      <c r="L965" s="69">
        <f>IF(H965="","",A965&amp;"|"&amp;H965)</f>
        <v/>
      </c>
      <c r="M965" s="69">
        <f>IF(A965="","",IFERROR(INDEX(Bestand!$AC$14:$AC$213,MATCH(A965,Bestand!$A$14:$A$213,0)),0))</f>
        <v/>
      </c>
      <c r="N965" s="69">
        <f>IF(OR(H965="",M965&lt;&gt;1),"",C965+ROW()/100000)</f>
        <v/>
      </c>
    </row>
    <row r="966" ht="20" customHeight="1">
      <c r="A966" s="60" t="n"/>
      <c r="B966" s="65">
        <f>IF(A966="","",IFERROR(INDEX(Bestand!$B$14:$B$213,MATCH(A966,Bestand!$A$14:$A$213,0)),"ID unbekannt"))</f>
        <v/>
      </c>
      <c r="C966" s="63" t="n"/>
      <c r="D966" s="62" t="n"/>
      <c r="E966" s="60" t="n"/>
      <c r="F966" s="60" t="n"/>
      <c r="G966" s="61" t="n"/>
      <c r="H966" s="69">
        <f>IF(OR(A966="",C966=""),"",COUNTIFS($A$7:$A$1006,A966,$C$7:$C$1006,"&lt;"&amp;C966)+1)</f>
        <v/>
      </c>
      <c r="I966" s="67">
        <f>IF(H966="","",IF(H966=1,"",C966-_xlfn.MAXIFS($C$7:$C$1006,$A$7:$A$1006,A966,$C$7:$C$1006,"&lt;"&amp;C966)))</f>
        <v/>
      </c>
      <c r="J966" s="68">
        <f>IF(I966="","",I966/TpM)</f>
        <v/>
      </c>
      <c r="K966" s="69">
        <f>IF(H966="","",COUNTIFS($A$7:$A$1006,A966,$C$7:$C$1006,"&gt;0")-H966)</f>
        <v/>
      </c>
      <c r="L966" s="69">
        <f>IF(H966="","",A966&amp;"|"&amp;H966)</f>
        <v/>
      </c>
      <c r="M966" s="69">
        <f>IF(A966="","",IFERROR(INDEX(Bestand!$AC$14:$AC$213,MATCH(A966,Bestand!$A$14:$A$213,0)),0))</f>
        <v/>
      </c>
      <c r="N966" s="69">
        <f>IF(OR(H966="",M966&lt;&gt;1),"",C966+ROW()/100000)</f>
        <v/>
      </c>
    </row>
    <row r="967" ht="20" customHeight="1">
      <c r="A967" s="60" t="n"/>
      <c r="B967" s="65">
        <f>IF(A967="","",IFERROR(INDEX(Bestand!$B$14:$B$213,MATCH(A967,Bestand!$A$14:$A$213,0)),"ID unbekannt"))</f>
        <v/>
      </c>
      <c r="C967" s="63" t="n"/>
      <c r="D967" s="62" t="n"/>
      <c r="E967" s="60" t="n"/>
      <c r="F967" s="60" t="n"/>
      <c r="G967" s="61" t="n"/>
      <c r="H967" s="69">
        <f>IF(OR(A967="",C967=""),"",COUNTIFS($A$7:$A$1006,A967,$C$7:$C$1006,"&lt;"&amp;C967)+1)</f>
        <v/>
      </c>
      <c r="I967" s="67">
        <f>IF(H967="","",IF(H967=1,"",C967-_xlfn.MAXIFS($C$7:$C$1006,$A$7:$A$1006,A967,$C$7:$C$1006,"&lt;"&amp;C967)))</f>
        <v/>
      </c>
      <c r="J967" s="68">
        <f>IF(I967="","",I967/TpM)</f>
        <v/>
      </c>
      <c r="K967" s="69">
        <f>IF(H967="","",COUNTIFS($A$7:$A$1006,A967,$C$7:$C$1006,"&gt;0")-H967)</f>
        <v/>
      </c>
      <c r="L967" s="69">
        <f>IF(H967="","",A967&amp;"|"&amp;H967)</f>
        <v/>
      </c>
      <c r="M967" s="69">
        <f>IF(A967="","",IFERROR(INDEX(Bestand!$AC$14:$AC$213,MATCH(A967,Bestand!$A$14:$A$213,0)),0))</f>
        <v/>
      </c>
      <c r="N967" s="69">
        <f>IF(OR(H967="",M967&lt;&gt;1),"",C967+ROW()/100000)</f>
        <v/>
      </c>
    </row>
    <row r="968" ht="20" customHeight="1">
      <c r="A968" s="60" t="n"/>
      <c r="B968" s="65">
        <f>IF(A968="","",IFERROR(INDEX(Bestand!$B$14:$B$213,MATCH(A968,Bestand!$A$14:$A$213,0)),"ID unbekannt"))</f>
        <v/>
      </c>
      <c r="C968" s="63" t="n"/>
      <c r="D968" s="62" t="n"/>
      <c r="E968" s="60" t="n"/>
      <c r="F968" s="60" t="n"/>
      <c r="G968" s="61" t="n"/>
      <c r="H968" s="69">
        <f>IF(OR(A968="",C968=""),"",COUNTIFS($A$7:$A$1006,A968,$C$7:$C$1006,"&lt;"&amp;C968)+1)</f>
        <v/>
      </c>
      <c r="I968" s="67">
        <f>IF(H968="","",IF(H968=1,"",C968-_xlfn.MAXIFS($C$7:$C$1006,$A$7:$A$1006,A968,$C$7:$C$1006,"&lt;"&amp;C968)))</f>
        <v/>
      </c>
      <c r="J968" s="68">
        <f>IF(I968="","",I968/TpM)</f>
        <v/>
      </c>
      <c r="K968" s="69">
        <f>IF(H968="","",COUNTIFS($A$7:$A$1006,A968,$C$7:$C$1006,"&gt;0")-H968)</f>
        <v/>
      </c>
      <c r="L968" s="69">
        <f>IF(H968="","",A968&amp;"|"&amp;H968)</f>
        <v/>
      </c>
      <c r="M968" s="69">
        <f>IF(A968="","",IFERROR(INDEX(Bestand!$AC$14:$AC$213,MATCH(A968,Bestand!$A$14:$A$213,0)),0))</f>
        <v/>
      </c>
      <c r="N968" s="69">
        <f>IF(OR(H968="",M968&lt;&gt;1),"",C968+ROW()/100000)</f>
        <v/>
      </c>
    </row>
    <row r="969" ht="20" customHeight="1">
      <c r="A969" s="60" t="n"/>
      <c r="B969" s="65">
        <f>IF(A969="","",IFERROR(INDEX(Bestand!$B$14:$B$213,MATCH(A969,Bestand!$A$14:$A$213,0)),"ID unbekannt"))</f>
        <v/>
      </c>
      <c r="C969" s="63" t="n"/>
      <c r="D969" s="62" t="n"/>
      <c r="E969" s="60" t="n"/>
      <c r="F969" s="60" t="n"/>
      <c r="G969" s="61" t="n"/>
      <c r="H969" s="69">
        <f>IF(OR(A969="",C969=""),"",COUNTIFS($A$7:$A$1006,A969,$C$7:$C$1006,"&lt;"&amp;C969)+1)</f>
        <v/>
      </c>
      <c r="I969" s="67">
        <f>IF(H969="","",IF(H969=1,"",C969-_xlfn.MAXIFS($C$7:$C$1006,$A$7:$A$1006,A969,$C$7:$C$1006,"&lt;"&amp;C969)))</f>
        <v/>
      </c>
      <c r="J969" s="68">
        <f>IF(I969="","",I969/TpM)</f>
        <v/>
      </c>
      <c r="K969" s="69">
        <f>IF(H969="","",COUNTIFS($A$7:$A$1006,A969,$C$7:$C$1006,"&gt;0")-H969)</f>
        <v/>
      </c>
      <c r="L969" s="69">
        <f>IF(H969="","",A969&amp;"|"&amp;H969)</f>
        <v/>
      </c>
      <c r="M969" s="69">
        <f>IF(A969="","",IFERROR(INDEX(Bestand!$AC$14:$AC$213,MATCH(A969,Bestand!$A$14:$A$213,0)),0))</f>
        <v/>
      </c>
      <c r="N969" s="69">
        <f>IF(OR(H969="",M969&lt;&gt;1),"",C969+ROW()/100000)</f>
        <v/>
      </c>
    </row>
    <row r="970" ht="20" customHeight="1">
      <c r="A970" s="60" t="n"/>
      <c r="B970" s="65">
        <f>IF(A970="","",IFERROR(INDEX(Bestand!$B$14:$B$213,MATCH(A970,Bestand!$A$14:$A$213,0)),"ID unbekannt"))</f>
        <v/>
      </c>
      <c r="C970" s="63" t="n"/>
      <c r="D970" s="62" t="n"/>
      <c r="E970" s="60" t="n"/>
      <c r="F970" s="60" t="n"/>
      <c r="G970" s="61" t="n"/>
      <c r="H970" s="69">
        <f>IF(OR(A970="",C970=""),"",COUNTIFS($A$7:$A$1006,A970,$C$7:$C$1006,"&lt;"&amp;C970)+1)</f>
        <v/>
      </c>
      <c r="I970" s="67">
        <f>IF(H970="","",IF(H970=1,"",C970-_xlfn.MAXIFS($C$7:$C$1006,$A$7:$A$1006,A970,$C$7:$C$1006,"&lt;"&amp;C970)))</f>
        <v/>
      </c>
      <c r="J970" s="68">
        <f>IF(I970="","",I970/TpM)</f>
        <v/>
      </c>
      <c r="K970" s="69">
        <f>IF(H970="","",COUNTIFS($A$7:$A$1006,A970,$C$7:$C$1006,"&gt;0")-H970)</f>
        <v/>
      </c>
      <c r="L970" s="69">
        <f>IF(H970="","",A970&amp;"|"&amp;H970)</f>
        <v/>
      </c>
      <c r="M970" s="69">
        <f>IF(A970="","",IFERROR(INDEX(Bestand!$AC$14:$AC$213,MATCH(A970,Bestand!$A$14:$A$213,0)),0))</f>
        <v/>
      </c>
      <c r="N970" s="69">
        <f>IF(OR(H970="",M970&lt;&gt;1),"",C970+ROW()/100000)</f>
        <v/>
      </c>
    </row>
    <row r="971" ht="20" customHeight="1">
      <c r="A971" s="60" t="n"/>
      <c r="B971" s="65">
        <f>IF(A971="","",IFERROR(INDEX(Bestand!$B$14:$B$213,MATCH(A971,Bestand!$A$14:$A$213,0)),"ID unbekannt"))</f>
        <v/>
      </c>
      <c r="C971" s="63" t="n"/>
      <c r="D971" s="62" t="n"/>
      <c r="E971" s="60" t="n"/>
      <c r="F971" s="60" t="n"/>
      <c r="G971" s="61" t="n"/>
      <c r="H971" s="69">
        <f>IF(OR(A971="",C971=""),"",COUNTIFS($A$7:$A$1006,A971,$C$7:$C$1006,"&lt;"&amp;C971)+1)</f>
        <v/>
      </c>
      <c r="I971" s="67">
        <f>IF(H971="","",IF(H971=1,"",C971-_xlfn.MAXIFS($C$7:$C$1006,$A$7:$A$1006,A971,$C$7:$C$1006,"&lt;"&amp;C971)))</f>
        <v/>
      </c>
      <c r="J971" s="68">
        <f>IF(I971="","",I971/TpM)</f>
        <v/>
      </c>
      <c r="K971" s="69">
        <f>IF(H971="","",COUNTIFS($A$7:$A$1006,A971,$C$7:$C$1006,"&gt;0")-H971)</f>
        <v/>
      </c>
      <c r="L971" s="69">
        <f>IF(H971="","",A971&amp;"|"&amp;H971)</f>
        <v/>
      </c>
      <c r="M971" s="69">
        <f>IF(A971="","",IFERROR(INDEX(Bestand!$AC$14:$AC$213,MATCH(A971,Bestand!$A$14:$A$213,0)),0))</f>
        <v/>
      </c>
      <c r="N971" s="69">
        <f>IF(OR(H971="",M971&lt;&gt;1),"",C971+ROW()/100000)</f>
        <v/>
      </c>
    </row>
    <row r="972" ht="20" customHeight="1">
      <c r="A972" s="60" t="n"/>
      <c r="B972" s="65">
        <f>IF(A972="","",IFERROR(INDEX(Bestand!$B$14:$B$213,MATCH(A972,Bestand!$A$14:$A$213,0)),"ID unbekannt"))</f>
        <v/>
      </c>
      <c r="C972" s="63" t="n"/>
      <c r="D972" s="62" t="n"/>
      <c r="E972" s="60" t="n"/>
      <c r="F972" s="60" t="n"/>
      <c r="G972" s="61" t="n"/>
      <c r="H972" s="69">
        <f>IF(OR(A972="",C972=""),"",COUNTIFS($A$7:$A$1006,A972,$C$7:$C$1006,"&lt;"&amp;C972)+1)</f>
        <v/>
      </c>
      <c r="I972" s="67">
        <f>IF(H972="","",IF(H972=1,"",C972-_xlfn.MAXIFS($C$7:$C$1006,$A$7:$A$1006,A972,$C$7:$C$1006,"&lt;"&amp;C972)))</f>
        <v/>
      </c>
      <c r="J972" s="68">
        <f>IF(I972="","",I972/TpM)</f>
        <v/>
      </c>
      <c r="K972" s="69">
        <f>IF(H972="","",COUNTIFS($A$7:$A$1006,A972,$C$7:$C$1006,"&gt;0")-H972)</f>
        <v/>
      </c>
      <c r="L972" s="69">
        <f>IF(H972="","",A972&amp;"|"&amp;H972)</f>
        <v/>
      </c>
      <c r="M972" s="69">
        <f>IF(A972="","",IFERROR(INDEX(Bestand!$AC$14:$AC$213,MATCH(A972,Bestand!$A$14:$A$213,0)),0))</f>
        <v/>
      </c>
      <c r="N972" s="69">
        <f>IF(OR(H972="",M972&lt;&gt;1),"",C972+ROW()/100000)</f>
        <v/>
      </c>
    </row>
    <row r="973" ht="20" customHeight="1">
      <c r="A973" s="60" t="n"/>
      <c r="B973" s="65">
        <f>IF(A973="","",IFERROR(INDEX(Bestand!$B$14:$B$213,MATCH(A973,Bestand!$A$14:$A$213,0)),"ID unbekannt"))</f>
        <v/>
      </c>
      <c r="C973" s="63" t="n"/>
      <c r="D973" s="62" t="n"/>
      <c r="E973" s="60" t="n"/>
      <c r="F973" s="60" t="n"/>
      <c r="G973" s="61" t="n"/>
      <c r="H973" s="69">
        <f>IF(OR(A973="",C973=""),"",COUNTIFS($A$7:$A$1006,A973,$C$7:$C$1006,"&lt;"&amp;C973)+1)</f>
        <v/>
      </c>
      <c r="I973" s="67">
        <f>IF(H973="","",IF(H973=1,"",C973-_xlfn.MAXIFS($C$7:$C$1006,$A$7:$A$1006,A973,$C$7:$C$1006,"&lt;"&amp;C973)))</f>
        <v/>
      </c>
      <c r="J973" s="68">
        <f>IF(I973="","",I973/TpM)</f>
        <v/>
      </c>
      <c r="K973" s="69">
        <f>IF(H973="","",COUNTIFS($A$7:$A$1006,A973,$C$7:$C$1006,"&gt;0")-H973)</f>
        <v/>
      </c>
      <c r="L973" s="69">
        <f>IF(H973="","",A973&amp;"|"&amp;H973)</f>
        <v/>
      </c>
      <c r="M973" s="69">
        <f>IF(A973="","",IFERROR(INDEX(Bestand!$AC$14:$AC$213,MATCH(A973,Bestand!$A$14:$A$213,0)),0))</f>
        <v/>
      </c>
      <c r="N973" s="69">
        <f>IF(OR(H973="",M973&lt;&gt;1),"",C973+ROW()/100000)</f>
        <v/>
      </c>
    </row>
    <row r="974" ht="20" customHeight="1">
      <c r="A974" s="60" t="n"/>
      <c r="B974" s="65">
        <f>IF(A974="","",IFERROR(INDEX(Bestand!$B$14:$B$213,MATCH(A974,Bestand!$A$14:$A$213,0)),"ID unbekannt"))</f>
        <v/>
      </c>
      <c r="C974" s="63" t="n"/>
      <c r="D974" s="62" t="n"/>
      <c r="E974" s="60" t="n"/>
      <c r="F974" s="60" t="n"/>
      <c r="G974" s="61" t="n"/>
      <c r="H974" s="69">
        <f>IF(OR(A974="",C974=""),"",COUNTIFS($A$7:$A$1006,A974,$C$7:$C$1006,"&lt;"&amp;C974)+1)</f>
        <v/>
      </c>
      <c r="I974" s="67">
        <f>IF(H974="","",IF(H974=1,"",C974-_xlfn.MAXIFS($C$7:$C$1006,$A$7:$A$1006,A974,$C$7:$C$1006,"&lt;"&amp;C974)))</f>
        <v/>
      </c>
      <c r="J974" s="68">
        <f>IF(I974="","",I974/TpM)</f>
        <v/>
      </c>
      <c r="K974" s="69">
        <f>IF(H974="","",COUNTIFS($A$7:$A$1006,A974,$C$7:$C$1006,"&gt;0")-H974)</f>
        <v/>
      </c>
      <c r="L974" s="69">
        <f>IF(H974="","",A974&amp;"|"&amp;H974)</f>
        <v/>
      </c>
      <c r="M974" s="69">
        <f>IF(A974="","",IFERROR(INDEX(Bestand!$AC$14:$AC$213,MATCH(A974,Bestand!$A$14:$A$213,0)),0))</f>
        <v/>
      </c>
      <c r="N974" s="69">
        <f>IF(OR(H974="",M974&lt;&gt;1),"",C974+ROW()/100000)</f>
        <v/>
      </c>
    </row>
    <row r="975" ht="20" customHeight="1">
      <c r="A975" s="60" t="n"/>
      <c r="B975" s="65">
        <f>IF(A975="","",IFERROR(INDEX(Bestand!$B$14:$B$213,MATCH(A975,Bestand!$A$14:$A$213,0)),"ID unbekannt"))</f>
        <v/>
      </c>
      <c r="C975" s="63" t="n"/>
      <c r="D975" s="62" t="n"/>
      <c r="E975" s="60" t="n"/>
      <c r="F975" s="60" t="n"/>
      <c r="G975" s="61" t="n"/>
      <c r="H975" s="69">
        <f>IF(OR(A975="",C975=""),"",COUNTIFS($A$7:$A$1006,A975,$C$7:$C$1006,"&lt;"&amp;C975)+1)</f>
        <v/>
      </c>
      <c r="I975" s="67">
        <f>IF(H975="","",IF(H975=1,"",C975-_xlfn.MAXIFS($C$7:$C$1006,$A$7:$A$1006,A975,$C$7:$C$1006,"&lt;"&amp;C975)))</f>
        <v/>
      </c>
      <c r="J975" s="68">
        <f>IF(I975="","",I975/TpM)</f>
        <v/>
      </c>
      <c r="K975" s="69">
        <f>IF(H975="","",COUNTIFS($A$7:$A$1006,A975,$C$7:$C$1006,"&gt;0")-H975)</f>
        <v/>
      </c>
      <c r="L975" s="69">
        <f>IF(H975="","",A975&amp;"|"&amp;H975)</f>
        <v/>
      </c>
      <c r="M975" s="69">
        <f>IF(A975="","",IFERROR(INDEX(Bestand!$AC$14:$AC$213,MATCH(A975,Bestand!$A$14:$A$213,0)),0))</f>
        <v/>
      </c>
      <c r="N975" s="69">
        <f>IF(OR(H975="",M975&lt;&gt;1),"",C975+ROW()/100000)</f>
        <v/>
      </c>
    </row>
    <row r="976" ht="20" customHeight="1">
      <c r="A976" s="60" t="n"/>
      <c r="B976" s="65">
        <f>IF(A976="","",IFERROR(INDEX(Bestand!$B$14:$B$213,MATCH(A976,Bestand!$A$14:$A$213,0)),"ID unbekannt"))</f>
        <v/>
      </c>
      <c r="C976" s="63" t="n"/>
      <c r="D976" s="62" t="n"/>
      <c r="E976" s="60" t="n"/>
      <c r="F976" s="60" t="n"/>
      <c r="G976" s="61" t="n"/>
      <c r="H976" s="69">
        <f>IF(OR(A976="",C976=""),"",COUNTIFS($A$7:$A$1006,A976,$C$7:$C$1006,"&lt;"&amp;C976)+1)</f>
        <v/>
      </c>
      <c r="I976" s="67">
        <f>IF(H976="","",IF(H976=1,"",C976-_xlfn.MAXIFS($C$7:$C$1006,$A$7:$A$1006,A976,$C$7:$C$1006,"&lt;"&amp;C976)))</f>
        <v/>
      </c>
      <c r="J976" s="68">
        <f>IF(I976="","",I976/TpM)</f>
        <v/>
      </c>
      <c r="K976" s="69">
        <f>IF(H976="","",COUNTIFS($A$7:$A$1006,A976,$C$7:$C$1006,"&gt;0")-H976)</f>
        <v/>
      </c>
      <c r="L976" s="69">
        <f>IF(H976="","",A976&amp;"|"&amp;H976)</f>
        <v/>
      </c>
      <c r="M976" s="69">
        <f>IF(A976="","",IFERROR(INDEX(Bestand!$AC$14:$AC$213,MATCH(A976,Bestand!$A$14:$A$213,0)),0))</f>
        <v/>
      </c>
      <c r="N976" s="69">
        <f>IF(OR(H976="",M976&lt;&gt;1),"",C976+ROW()/100000)</f>
        <v/>
      </c>
    </row>
    <row r="977" ht="20" customHeight="1">
      <c r="A977" s="60" t="n"/>
      <c r="B977" s="65">
        <f>IF(A977="","",IFERROR(INDEX(Bestand!$B$14:$B$213,MATCH(A977,Bestand!$A$14:$A$213,0)),"ID unbekannt"))</f>
        <v/>
      </c>
      <c r="C977" s="63" t="n"/>
      <c r="D977" s="62" t="n"/>
      <c r="E977" s="60" t="n"/>
      <c r="F977" s="60" t="n"/>
      <c r="G977" s="61" t="n"/>
      <c r="H977" s="69">
        <f>IF(OR(A977="",C977=""),"",COUNTIFS($A$7:$A$1006,A977,$C$7:$C$1006,"&lt;"&amp;C977)+1)</f>
        <v/>
      </c>
      <c r="I977" s="67">
        <f>IF(H977="","",IF(H977=1,"",C977-_xlfn.MAXIFS($C$7:$C$1006,$A$7:$A$1006,A977,$C$7:$C$1006,"&lt;"&amp;C977)))</f>
        <v/>
      </c>
      <c r="J977" s="68">
        <f>IF(I977="","",I977/TpM)</f>
        <v/>
      </c>
      <c r="K977" s="69">
        <f>IF(H977="","",COUNTIFS($A$7:$A$1006,A977,$C$7:$C$1006,"&gt;0")-H977)</f>
        <v/>
      </c>
      <c r="L977" s="69">
        <f>IF(H977="","",A977&amp;"|"&amp;H977)</f>
        <v/>
      </c>
      <c r="M977" s="69">
        <f>IF(A977="","",IFERROR(INDEX(Bestand!$AC$14:$AC$213,MATCH(A977,Bestand!$A$14:$A$213,0)),0))</f>
        <v/>
      </c>
      <c r="N977" s="69">
        <f>IF(OR(H977="",M977&lt;&gt;1),"",C977+ROW()/100000)</f>
        <v/>
      </c>
    </row>
    <row r="978" ht="20" customHeight="1">
      <c r="A978" s="60" t="n"/>
      <c r="B978" s="65">
        <f>IF(A978="","",IFERROR(INDEX(Bestand!$B$14:$B$213,MATCH(A978,Bestand!$A$14:$A$213,0)),"ID unbekannt"))</f>
        <v/>
      </c>
      <c r="C978" s="63" t="n"/>
      <c r="D978" s="62" t="n"/>
      <c r="E978" s="60" t="n"/>
      <c r="F978" s="60" t="n"/>
      <c r="G978" s="61" t="n"/>
      <c r="H978" s="69">
        <f>IF(OR(A978="",C978=""),"",COUNTIFS($A$7:$A$1006,A978,$C$7:$C$1006,"&lt;"&amp;C978)+1)</f>
        <v/>
      </c>
      <c r="I978" s="67">
        <f>IF(H978="","",IF(H978=1,"",C978-_xlfn.MAXIFS($C$7:$C$1006,$A$7:$A$1006,A978,$C$7:$C$1006,"&lt;"&amp;C978)))</f>
        <v/>
      </c>
      <c r="J978" s="68">
        <f>IF(I978="","",I978/TpM)</f>
        <v/>
      </c>
      <c r="K978" s="69">
        <f>IF(H978="","",COUNTIFS($A$7:$A$1006,A978,$C$7:$C$1006,"&gt;0")-H978)</f>
        <v/>
      </c>
      <c r="L978" s="69">
        <f>IF(H978="","",A978&amp;"|"&amp;H978)</f>
        <v/>
      </c>
      <c r="M978" s="69">
        <f>IF(A978="","",IFERROR(INDEX(Bestand!$AC$14:$AC$213,MATCH(A978,Bestand!$A$14:$A$213,0)),0))</f>
        <v/>
      </c>
      <c r="N978" s="69">
        <f>IF(OR(H978="",M978&lt;&gt;1),"",C978+ROW()/100000)</f>
        <v/>
      </c>
    </row>
    <row r="979" ht="20" customHeight="1">
      <c r="A979" s="60" t="n"/>
      <c r="B979" s="65">
        <f>IF(A979="","",IFERROR(INDEX(Bestand!$B$14:$B$213,MATCH(A979,Bestand!$A$14:$A$213,0)),"ID unbekannt"))</f>
        <v/>
      </c>
      <c r="C979" s="63" t="n"/>
      <c r="D979" s="62" t="n"/>
      <c r="E979" s="60" t="n"/>
      <c r="F979" s="60" t="n"/>
      <c r="G979" s="61" t="n"/>
      <c r="H979" s="69">
        <f>IF(OR(A979="",C979=""),"",COUNTIFS($A$7:$A$1006,A979,$C$7:$C$1006,"&lt;"&amp;C979)+1)</f>
        <v/>
      </c>
      <c r="I979" s="67">
        <f>IF(H979="","",IF(H979=1,"",C979-_xlfn.MAXIFS($C$7:$C$1006,$A$7:$A$1006,A979,$C$7:$C$1006,"&lt;"&amp;C979)))</f>
        <v/>
      </c>
      <c r="J979" s="68">
        <f>IF(I979="","",I979/TpM)</f>
        <v/>
      </c>
      <c r="K979" s="69">
        <f>IF(H979="","",COUNTIFS($A$7:$A$1006,A979,$C$7:$C$1006,"&gt;0")-H979)</f>
        <v/>
      </c>
      <c r="L979" s="69">
        <f>IF(H979="","",A979&amp;"|"&amp;H979)</f>
        <v/>
      </c>
      <c r="M979" s="69">
        <f>IF(A979="","",IFERROR(INDEX(Bestand!$AC$14:$AC$213,MATCH(A979,Bestand!$A$14:$A$213,0)),0))</f>
        <v/>
      </c>
      <c r="N979" s="69">
        <f>IF(OR(H979="",M979&lt;&gt;1),"",C979+ROW()/100000)</f>
        <v/>
      </c>
    </row>
    <row r="980" ht="20" customHeight="1">
      <c r="A980" s="60" t="n"/>
      <c r="B980" s="65">
        <f>IF(A980="","",IFERROR(INDEX(Bestand!$B$14:$B$213,MATCH(A980,Bestand!$A$14:$A$213,0)),"ID unbekannt"))</f>
        <v/>
      </c>
      <c r="C980" s="63" t="n"/>
      <c r="D980" s="62" t="n"/>
      <c r="E980" s="60" t="n"/>
      <c r="F980" s="60" t="n"/>
      <c r="G980" s="61" t="n"/>
      <c r="H980" s="69">
        <f>IF(OR(A980="",C980=""),"",COUNTIFS($A$7:$A$1006,A980,$C$7:$C$1006,"&lt;"&amp;C980)+1)</f>
        <v/>
      </c>
      <c r="I980" s="67">
        <f>IF(H980="","",IF(H980=1,"",C980-_xlfn.MAXIFS($C$7:$C$1006,$A$7:$A$1006,A980,$C$7:$C$1006,"&lt;"&amp;C980)))</f>
        <v/>
      </c>
      <c r="J980" s="68">
        <f>IF(I980="","",I980/TpM)</f>
        <v/>
      </c>
      <c r="K980" s="69">
        <f>IF(H980="","",COUNTIFS($A$7:$A$1006,A980,$C$7:$C$1006,"&gt;0")-H980)</f>
        <v/>
      </c>
      <c r="L980" s="69">
        <f>IF(H980="","",A980&amp;"|"&amp;H980)</f>
        <v/>
      </c>
      <c r="M980" s="69">
        <f>IF(A980="","",IFERROR(INDEX(Bestand!$AC$14:$AC$213,MATCH(A980,Bestand!$A$14:$A$213,0)),0))</f>
        <v/>
      </c>
      <c r="N980" s="69">
        <f>IF(OR(H980="",M980&lt;&gt;1),"",C980+ROW()/100000)</f>
        <v/>
      </c>
    </row>
    <row r="981" ht="20" customHeight="1">
      <c r="A981" s="60" t="n"/>
      <c r="B981" s="65">
        <f>IF(A981="","",IFERROR(INDEX(Bestand!$B$14:$B$213,MATCH(A981,Bestand!$A$14:$A$213,0)),"ID unbekannt"))</f>
        <v/>
      </c>
      <c r="C981" s="63" t="n"/>
      <c r="D981" s="62" t="n"/>
      <c r="E981" s="60" t="n"/>
      <c r="F981" s="60" t="n"/>
      <c r="G981" s="61" t="n"/>
      <c r="H981" s="69">
        <f>IF(OR(A981="",C981=""),"",COUNTIFS($A$7:$A$1006,A981,$C$7:$C$1006,"&lt;"&amp;C981)+1)</f>
        <v/>
      </c>
      <c r="I981" s="67">
        <f>IF(H981="","",IF(H981=1,"",C981-_xlfn.MAXIFS($C$7:$C$1006,$A$7:$A$1006,A981,$C$7:$C$1006,"&lt;"&amp;C981)))</f>
        <v/>
      </c>
      <c r="J981" s="68">
        <f>IF(I981="","",I981/TpM)</f>
        <v/>
      </c>
      <c r="K981" s="69">
        <f>IF(H981="","",COUNTIFS($A$7:$A$1006,A981,$C$7:$C$1006,"&gt;0")-H981)</f>
        <v/>
      </c>
      <c r="L981" s="69">
        <f>IF(H981="","",A981&amp;"|"&amp;H981)</f>
        <v/>
      </c>
      <c r="M981" s="69">
        <f>IF(A981="","",IFERROR(INDEX(Bestand!$AC$14:$AC$213,MATCH(A981,Bestand!$A$14:$A$213,0)),0))</f>
        <v/>
      </c>
      <c r="N981" s="69">
        <f>IF(OR(H981="",M981&lt;&gt;1),"",C981+ROW()/100000)</f>
        <v/>
      </c>
    </row>
    <row r="982" ht="20" customHeight="1">
      <c r="A982" s="60" t="n"/>
      <c r="B982" s="65">
        <f>IF(A982="","",IFERROR(INDEX(Bestand!$B$14:$B$213,MATCH(A982,Bestand!$A$14:$A$213,0)),"ID unbekannt"))</f>
        <v/>
      </c>
      <c r="C982" s="63" t="n"/>
      <c r="D982" s="62" t="n"/>
      <c r="E982" s="60" t="n"/>
      <c r="F982" s="60" t="n"/>
      <c r="G982" s="61" t="n"/>
      <c r="H982" s="69">
        <f>IF(OR(A982="",C982=""),"",COUNTIFS($A$7:$A$1006,A982,$C$7:$C$1006,"&lt;"&amp;C982)+1)</f>
        <v/>
      </c>
      <c r="I982" s="67">
        <f>IF(H982="","",IF(H982=1,"",C982-_xlfn.MAXIFS($C$7:$C$1006,$A$7:$A$1006,A982,$C$7:$C$1006,"&lt;"&amp;C982)))</f>
        <v/>
      </c>
      <c r="J982" s="68">
        <f>IF(I982="","",I982/TpM)</f>
        <v/>
      </c>
      <c r="K982" s="69">
        <f>IF(H982="","",COUNTIFS($A$7:$A$1006,A982,$C$7:$C$1006,"&gt;0")-H982)</f>
        <v/>
      </c>
      <c r="L982" s="69">
        <f>IF(H982="","",A982&amp;"|"&amp;H982)</f>
        <v/>
      </c>
      <c r="M982" s="69">
        <f>IF(A982="","",IFERROR(INDEX(Bestand!$AC$14:$AC$213,MATCH(A982,Bestand!$A$14:$A$213,0)),0))</f>
        <v/>
      </c>
      <c r="N982" s="69">
        <f>IF(OR(H982="",M982&lt;&gt;1),"",C982+ROW()/100000)</f>
        <v/>
      </c>
    </row>
    <row r="983" ht="20" customHeight="1">
      <c r="A983" s="60" t="n"/>
      <c r="B983" s="65">
        <f>IF(A983="","",IFERROR(INDEX(Bestand!$B$14:$B$213,MATCH(A983,Bestand!$A$14:$A$213,0)),"ID unbekannt"))</f>
        <v/>
      </c>
      <c r="C983" s="63" t="n"/>
      <c r="D983" s="62" t="n"/>
      <c r="E983" s="60" t="n"/>
      <c r="F983" s="60" t="n"/>
      <c r="G983" s="61" t="n"/>
      <c r="H983" s="69">
        <f>IF(OR(A983="",C983=""),"",COUNTIFS($A$7:$A$1006,A983,$C$7:$C$1006,"&lt;"&amp;C983)+1)</f>
        <v/>
      </c>
      <c r="I983" s="67">
        <f>IF(H983="","",IF(H983=1,"",C983-_xlfn.MAXIFS($C$7:$C$1006,$A$7:$A$1006,A983,$C$7:$C$1006,"&lt;"&amp;C983)))</f>
        <v/>
      </c>
      <c r="J983" s="68">
        <f>IF(I983="","",I983/TpM)</f>
        <v/>
      </c>
      <c r="K983" s="69">
        <f>IF(H983="","",COUNTIFS($A$7:$A$1006,A983,$C$7:$C$1006,"&gt;0")-H983)</f>
        <v/>
      </c>
      <c r="L983" s="69">
        <f>IF(H983="","",A983&amp;"|"&amp;H983)</f>
        <v/>
      </c>
      <c r="M983" s="69">
        <f>IF(A983="","",IFERROR(INDEX(Bestand!$AC$14:$AC$213,MATCH(A983,Bestand!$A$14:$A$213,0)),0))</f>
        <v/>
      </c>
      <c r="N983" s="69">
        <f>IF(OR(H983="",M983&lt;&gt;1),"",C983+ROW()/100000)</f>
        <v/>
      </c>
    </row>
    <row r="984" ht="20" customHeight="1">
      <c r="A984" s="60" t="n"/>
      <c r="B984" s="65">
        <f>IF(A984="","",IFERROR(INDEX(Bestand!$B$14:$B$213,MATCH(A984,Bestand!$A$14:$A$213,0)),"ID unbekannt"))</f>
        <v/>
      </c>
      <c r="C984" s="63" t="n"/>
      <c r="D984" s="62" t="n"/>
      <c r="E984" s="60" t="n"/>
      <c r="F984" s="60" t="n"/>
      <c r="G984" s="61" t="n"/>
      <c r="H984" s="69">
        <f>IF(OR(A984="",C984=""),"",COUNTIFS($A$7:$A$1006,A984,$C$7:$C$1006,"&lt;"&amp;C984)+1)</f>
        <v/>
      </c>
      <c r="I984" s="67">
        <f>IF(H984="","",IF(H984=1,"",C984-_xlfn.MAXIFS($C$7:$C$1006,$A$7:$A$1006,A984,$C$7:$C$1006,"&lt;"&amp;C984)))</f>
        <v/>
      </c>
      <c r="J984" s="68">
        <f>IF(I984="","",I984/TpM)</f>
        <v/>
      </c>
      <c r="K984" s="69">
        <f>IF(H984="","",COUNTIFS($A$7:$A$1006,A984,$C$7:$C$1006,"&gt;0")-H984)</f>
        <v/>
      </c>
      <c r="L984" s="69">
        <f>IF(H984="","",A984&amp;"|"&amp;H984)</f>
        <v/>
      </c>
      <c r="M984" s="69">
        <f>IF(A984="","",IFERROR(INDEX(Bestand!$AC$14:$AC$213,MATCH(A984,Bestand!$A$14:$A$213,0)),0))</f>
        <v/>
      </c>
      <c r="N984" s="69">
        <f>IF(OR(H984="",M984&lt;&gt;1),"",C984+ROW()/100000)</f>
        <v/>
      </c>
    </row>
    <row r="985" ht="20" customHeight="1">
      <c r="A985" s="60" t="n"/>
      <c r="B985" s="65">
        <f>IF(A985="","",IFERROR(INDEX(Bestand!$B$14:$B$213,MATCH(A985,Bestand!$A$14:$A$213,0)),"ID unbekannt"))</f>
        <v/>
      </c>
      <c r="C985" s="63" t="n"/>
      <c r="D985" s="62" t="n"/>
      <c r="E985" s="60" t="n"/>
      <c r="F985" s="60" t="n"/>
      <c r="G985" s="61" t="n"/>
      <c r="H985" s="69">
        <f>IF(OR(A985="",C985=""),"",COUNTIFS($A$7:$A$1006,A985,$C$7:$C$1006,"&lt;"&amp;C985)+1)</f>
        <v/>
      </c>
      <c r="I985" s="67">
        <f>IF(H985="","",IF(H985=1,"",C985-_xlfn.MAXIFS($C$7:$C$1006,$A$7:$A$1006,A985,$C$7:$C$1006,"&lt;"&amp;C985)))</f>
        <v/>
      </c>
      <c r="J985" s="68">
        <f>IF(I985="","",I985/TpM)</f>
        <v/>
      </c>
      <c r="K985" s="69">
        <f>IF(H985="","",COUNTIFS($A$7:$A$1006,A985,$C$7:$C$1006,"&gt;0")-H985)</f>
        <v/>
      </c>
      <c r="L985" s="69">
        <f>IF(H985="","",A985&amp;"|"&amp;H985)</f>
        <v/>
      </c>
      <c r="M985" s="69">
        <f>IF(A985="","",IFERROR(INDEX(Bestand!$AC$14:$AC$213,MATCH(A985,Bestand!$A$14:$A$213,0)),0))</f>
        <v/>
      </c>
      <c r="N985" s="69">
        <f>IF(OR(H985="",M985&lt;&gt;1),"",C985+ROW()/100000)</f>
        <v/>
      </c>
    </row>
    <row r="986" ht="20" customHeight="1">
      <c r="A986" s="60" t="n"/>
      <c r="B986" s="65">
        <f>IF(A986="","",IFERROR(INDEX(Bestand!$B$14:$B$213,MATCH(A986,Bestand!$A$14:$A$213,0)),"ID unbekannt"))</f>
        <v/>
      </c>
      <c r="C986" s="63" t="n"/>
      <c r="D986" s="62" t="n"/>
      <c r="E986" s="60" t="n"/>
      <c r="F986" s="60" t="n"/>
      <c r="G986" s="61" t="n"/>
      <c r="H986" s="69">
        <f>IF(OR(A986="",C986=""),"",COUNTIFS($A$7:$A$1006,A986,$C$7:$C$1006,"&lt;"&amp;C986)+1)</f>
        <v/>
      </c>
      <c r="I986" s="67">
        <f>IF(H986="","",IF(H986=1,"",C986-_xlfn.MAXIFS($C$7:$C$1006,$A$7:$A$1006,A986,$C$7:$C$1006,"&lt;"&amp;C986)))</f>
        <v/>
      </c>
      <c r="J986" s="68">
        <f>IF(I986="","",I986/TpM)</f>
        <v/>
      </c>
      <c r="K986" s="69">
        <f>IF(H986="","",COUNTIFS($A$7:$A$1006,A986,$C$7:$C$1006,"&gt;0")-H986)</f>
        <v/>
      </c>
      <c r="L986" s="69">
        <f>IF(H986="","",A986&amp;"|"&amp;H986)</f>
        <v/>
      </c>
      <c r="M986" s="69">
        <f>IF(A986="","",IFERROR(INDEX(Bestand!$AC$14:$AC$213,MATCH(A986,Bestand!$A$14:$A$213,0)),0))</f>
        <v/>
      </c>
      <c r="N986" s="69">
        <f>IF(OR(H986="",M986&lt;&gt;1),"",C986+ROW()/100000)</f>
        <v/>
      </c>
    </row>
    <row r="987" ht="20" customHeight="1">
      <c r="A987" s="60" t="n"/>
      <c r="B987" s="65">
        <f>IF(A987="","",IFERROR(INDEX(Bestand!$B$14:$B$213,MATCH(A987,Bestand!$A$14:$A$213,0)),"ID unbekannt"))</f>
        <v/>
      </c>
      <c r="C987" s="63" t="n"/>
      <c r="D987" s="62" t="n"/>
      <c r="E987" s="60" t="n"/>
      <c r="F987" s="60" t="n"/>
      <c r="G987" s="61" t="n"/>
      <c r="H987" s="69">
        <f>IF(OR(A987="",C987=""),"",COUNTIFS($A$7:$A$1006,A987,$C$7:$C$1006,"&lt;"&amp;C987)+1)</f>
        <v/>
      </c>
      <c r="I987" s="67">
        <f>IF(H987="","",IF(H987=1,"",C987-_xlfn.MAXIFS($C$7:$C$1006,$A$7:$A$1006,A987,$C$7:$C$1006,"&lt;"&amp;C987)))</f>
        <v/>
      </c>
      <c r="J987" s="68">
        <f>IF(I987="","",I987/TpM)</f>
        <v/>
      </c>
      <c r="K987" s="69">
        <f>IF(H987="","",COUNTIFS($A$7:$A$1006,A987,$C$7:$C$1006,"&gt;0")-H987)</f>
        <v/>
      </c>
      <c r="L987" s="69">
        <f>IF(H987="","",A987&amp;"|"&amp;H987)</f>
        <v/>
      </c>
      <c r="M987" s="69">
        <f>IF(A987="","",IFERROR(INDEX(Bestand!$AC$14:$AC$213,MATCH(A987,Bestand!$A$14:$A$213,0)),0))</f>
        <v/>
      </c>
      <c r="N987" s="69">
        <f>IF(OR(H987="",M987&lt;&gt;1),"",C987+ROW()/100000)</f>
        <v/>
      </c>
    </row>
    <row r="988" ht="20" customHeight="1">
      <c r="A988" s="60" t="n"/>
      <c r="B988" s="65">
        <f>IF(A988="","",IFERROR(INDEX(Bestand!$B$14:$B$213,MATCH(A988,Bestand!$A$14:$A$213,0)),"ID unbekannt"))</f>
        <v/>
      </c>
      <c r="C988" s="63" t="n"/>
      <c r="D988" s="62" t="n"/>
      <c r="E988" s="60" t="n"/>
      <c r="F988" s="60" t="n"/>
      <c r="G988" s="61" t="n"/>
      <c r="H988" s="69">
        <f>IF(OR(A988="",C988=""),"",COUNTIFS($A$7:$A$1006,A988,$C$7:$C$1006,"&lt;"&amp;C988)+1)</f>
        <v/>
      </c>
      <c r="I988" s="67">
        <f>IF(H988="","",IF(H988=1,"",C988-_xlfn.MAXIFS($C$7:$C$1006,$A$7:$A$1006,A988,$C$7:$C$1006,"&lt;"&amp;C988)))</f>
        <v/>
      </c>
      <c r="J988" s="68">
        <f>IF(I988="","",I988/TpM)</f>
        <v/>
      </c>
      <c r="K988" s="69">
        <f>IF(H988="","",COUNTIFS($A$7:$A$1006,A988,$C$7:$C$1006,"&gt;0")-H988)</f>
        <v/>
      </c>
      <c r="L988" s="69">
        <f>IF(H988="","",A988&amp;"|"&amp;H988)</f>
        <v/>
      </c>
      <c r="M988" s="69">
        <f>IF(A988="","",IFERROR(INDEX(Bestand!$AC$14:$AC$213,MATCH(A988,Bestand!$A$14:$A$213,0)),0))</f>
        <v/>
      </c>
      <c r="N988" s="69">
        <f>IF(OR(H988="",M988&lt;&gt;1),"",C988+ROW()/100000)</f>
        <v/>
      </c>
    </row>
    <row r="989" ht="20" customHeight="1">
      <c r="A989" s="60" t="n"/>
      <c r="B989" s="65">
        <f>IF(A989="","",IFERROR(INDEX(Bestand!$B$14:$B$213,MATCH(A989,Bestand!$A$14:$A$213,0)),"ID unbekannt"))</f>
        <v/>
      </c>
      <c r="C989" s="63" t="n"/>
      <c r="D989" s="62" t="n"/>
      <c r="E989" s="60" t="n"/>
      <c r="F989" s="60" t="n"/>
      <c r="G989" s="61" t="n"/>
      <c r="H989" s="69">
        <f>IF(OR(A989="",C989=""),"",COUNTIFS($A$7:$A$1006,A989,$C$7:$C$1006,"&lt;"&amp;C989)+1)</f>
        <v/>
      </c>
      <c r="I989" s="67">
        <f>IF(H989="","",IF(H989=1,"",C989-_xlfn.MAXIFS($C$7:$C$1006,$A$7:$A$1006,A989,$C$7:$C$1006,"&lt;"&amp;C989)))</f>
        <v/>
      </c>
      <c r="J989" s="68">
        <f>IF(I989="","",I989/TpM)</f>
        <v/>
      </c>
      <c r="K989" s="69">
        <f>IF(H989="","",COUNTIFS($A$7:$A$1006,A989,$C$7:$C$1006,"&gt;0")-H989)</f>
        <v/>
      </c>
      <c r="L989" s="69">
        <f>IF(H989="","",A989&amp;"|"&amp;H989)</f>
        <v/>
      </c>
      <c r="M989" s="69">
        <f>IF(A989="","",IFERROR(INDEX(Bestand!$AC$14:$AC$213,MATCH(A989,Bestand!$A$14:$A$213,0)),0))</f>
        <v/>
      </c>
      <c r="N989" s="69">
        <f>IF(OR(H989="",M989&lt;&gt;1),"",C989+ROW()/100000)</f>
        <v/>
      </c>
    </row>
    <row r="990" ht="20" customHeight="1">
      <c r="A990" s="60" t="n"/>
      <c r="B990" s="65">
        <f>IF(A990="","",IFERROR(INDEX(Bestand!$B$14:$B$213,MATCH(A990,Bestand!$A$14:$A$213,0)),"ID unbekannt"))</f>
        <v/>
      </c>
      <c r="C990" s="63" t="n"/>
      <c r="D990" s="62" t="n"/>
      <c r="E990" s="60" t="n"/>
      <c r="F990" s="60" t="n"/>
      <c r="G990" s="61" t="n"/>
      <c r="H990" s="69">
        <f>IF(OR(A990="",C990=""),"",COUNTIFS($A$7:$A$1006,A990,$C$7:$C$1006,"&lt;"&amp;C990)+1)</f>
        <v/>
      </c>
      <c r="I990" s="67">
        <f>IF(H990="","",IF(H990=1,"",C990-_xlfn.MAXIFS($C$7:$C$1006,$A$7:$A$1006,A990,$C$7:$C$1006,"&lt;"&amp;C990)))</f>
        <v/>
      </c>
      <c r="J990" s="68">
        <f>IF(I990="","",I990/TpM)</f>
        <v/>
      </c>
      <c r="K990" s="69">
        <f>IF(H990="","",COUNTIFS($A$7:$A$1006,A990,$C$7:$C$1006,"&gt;0")-H990)</f>
        <v/>
      </c>
      <c r="L990" s="69">
        <f>IF(H990="","",A990&amp;"|"&amp;H990)</f>
        <v/>
      </c>
      <c r="M990" s="69">
        <f>IF(A990="","",IFERROR(INDEX(Bestand!$AC$14:$AC$213,MATCH(A990,Bestand!$A$14:$A$213,0)),0))</f>
        <v/>
      </c>
      <c r="N990" s="69">
        <f>IF(OR(H990="",M990&lt;&gt;1),"",C990+ROW()/100000)</f>
        <v/>
      </c>
    </row>
    <row r="991" ht="20" customHeight="1">
      <c r="A991" s="60" t="n"/>
      <c r="B991" s="65">
        <f>IF(A991="","",IFERROR(INDEX(Bestand!$B$14:$B$213,MATCH(A991,Bestand!$A$14:$A$213,0)),"ID unbekannt"))</f>
        <v/>
      </c>
      <c r="C991" s="63" t="n"/>
      <c r="D991" s="62" t="n"/>
      <c r="E991" s="60" t="n"/>
      <c r="F991" s="60" t="n"/>
      <c r="G991" s="61" t="n"/>
      <c r="H991" s="69">
        <f>IF(OR(A991="",C991=""),"",COUNTIFS($A$7:$A$1006,A991,$C$7:$C$1006,"&lt;"&amp;C991)+1)</f>
        <v/>
      </c>
      <c r="I991" s="67">
        <f>IF(H991="","",IF(H991=1,"",C991-_xlfn.MAXIFS($C$7:$C$1006,$A$7:$A$1006,A991,$C$7:$C$1006,"&lt;"&amp;C991)))</f>
        <v/>
      </c>
      <c r="J991" s="68">
        <f>IF(I991="","",I991/TpM)</f>
        <v/>
      </c>
      <c r="K991" s="69">
        <f>IF(H991="","",COUNTIFS($A$7:$A$1006,A991,$C$7:$C$1006,"&gt;0")-H991)</f>
        <v/>
      </c>
      <c r="L991" s="69">
        <f>IF(H991="","",A991&amp;"|"&amp;H991)</f>
        <v/>
      </c>
      <c r="M991" s="69">
        <f>IF(A991="","",IFERROR(INDEX(Bestand!$AC$14:$AC$213,MATCH(A991,Bestand!$A$14:$A$213,0)),0))</f>
        <v/>
      </c>
      <c r="N991" s="69">
        <f>IF(OR(H991="",M991&lt;&gt;1),"",C991+ROW()/100000)</f>
        <v/>
      </c>
    </row>
    <row r="992" ht="20" customHeight="1">
      <c r="A992" s="60" t="n"/>
      <c r="B992" s="65">
        <f>IF(A992="","",IFERROR(INDEX(Bestand!$B$14:$B$213,MATCH(A992,Bestand!$A$14:$A$213,0)),"ID unbekannt"))</f>
        <v/>
      </c>
      <c r="C992" s="63" t="n"/>
      <c r="D992" s="62" t="n"/>
      <c r="E992" s="60" t="n"/>
      <c r="F992" s="60" t="n"/>
      <c r="G992" s="61" t="n"/>
      <c r="H992" s="69">
        <f>IF(OR(A992="",C992=""),"",COUNTIFS($A$7:$A$1006,A992,$C$7:$C$1006,"&lt;"&amp;C992)+1)</f>
        <v/>
      </c>
      <c r="I992" s="67">
        <f>IF(H992="","",IF(H992=1,"",C992-_xlfn.MAXIFS($C$7:$C$1006,$A$7:$A$1006,A992,$C$7:$C$1006,"&lt;"&amp;C992)))</f>
        <v/>
      </c>
      <c r="J992" s="68">
        <f>IF(I992="","",I992/TpM)</f>
        <v/>
      </c>
      <c r="K992" s="69">
        <f>IF(H992="","",COUNTIFS($A$7:$A$1006,A992,$C$7:$C$1006,"&gt;0")-H992)</f>
        <v/>
      </c>
      <c r="L992" s="69">
        <f>IF(H992="","",A992&amp;"|"&amp;H992)</f>
        <v/>
      </c>
      <c r="M992" s="69">
        <f>IF(A992="","",IFERROR(INDEX(Bestand!$AC$14:$AC$213,MATCH(A992,Bestand!$A$14:$A$213,0)),0))</f>
        <v/>
      </c>
      <c r="N992" s="69">
        <f>IF(OR(H992="",M992&lt;&gt;1),"",C992+ROW()/100000)</f>
        <v/>
      </c>
    </row>
    <row r="993" ht="20" customHeight="1">
      <c r="A993" s="60" t="n"/>
      <c r="B993" s="65">
        <f>IF(A993="","",IFERROR(INDEX(Bestand!$B$14:$B$213,MATCH(A993,Bestand!$A$14:$A$213,0)),"ID unbekannt"))</f>
        <v/>
      </c>
      <c r="C993" s="63" t="n"/>
      <c r="D993" s="62" t="n"/>
      <c r="E993" s="60" t="n"/>
      <c r="F993" s="60" t="n"/>
      <c r="G993" s="61" t="n"/>
      <c r="H993" s="69">
        <f>IF(OR(A993="",C993=""),"",COUNTIFS($A$7:$A$1006,A993,$C$7:$C$1006,"&lt;"&amp;C993)+1)</f>
        <v/>
      </c>
      <c r="I993" s="67">
        <f>IF(H993="","",IF(H993=1,"",C993-_xlfn.MAXIFS($C$7:$C$1006,$A$7:$A$1006,A993,$C$7:$C$1006,"&lt;"&amp;C993)))</f>
        <v/>
      </c>
      <c r="J993" s="68">
        <f>IF(I993="","",I993/TpM)</f>
        <v/>
      </c>
      <c r="K993" s="69">
        <f>IF(H993="","",COUNTIFS($A$7:$A$1006,A993,$C$7:$C$1006,"&gt;0")-H993)</f>
        <v/>
      </c>
      <c r="L993" s="69">
        <f>IF(H993="","",A993&amp;"|"&amp;H993)</f>
        <v/>
      </c>
      <c r="M993" s="69">
        <f>IF(A993="","",IFERROR(INDEX(Bestand!$AC$14:$AC$213,MATCH(A993,Bestand!$A$14:$A$213,0)),0))</f>
        <v/>
      </c>
      <c r="N993" s="69">
        <f>IF(OR(H993="",M993&lt;&gt;1),"",C993+ROW()/100000)</f>
        <v/>
      </c>
    </row>
    <row r="994" ht="20" customHeight="1">
      <c r="A994" s="60" t="n"/>
      <c r="B994" s="65">
        <f>IF(A994="","",IFERROR(INDEX(Bestand!$B$14:$B$213,MATCH(A994,Bestand!$A$14:$A$213,0)),"ID unbekannt"))</f>
        <v/>
      </c>
      <c r="C994" s="63" t="n"/>
      <c r="D994" s="62" t="n"/>
      <c r="E994" s="60" t="n"/>
      <c r="F994" s="60" t="n"/>
      <c r="G994" s="61" t="n"/>
      <c r="H994" s="69">
        <f>IF(OR(A994="",C994=""),"",COUNTIFS($A$7:$A$1006,A994,$C$7:$C$1006,"&lt;"&amp;C994)+1)</f>
        <v/>
      </c>
      <c r="I994" s="67">
        <f>IF(H994="","",IF(H994=1,"",C994-_xlfn.MAXIFS($C$7:$C$1006,$A$7:$A$1006,A994,$C$7:$C$1006,"&lt;"&amp;C994)))</f>
        <v/>
      </c>
      <c r="J994" s="68">
        <f>IF(I994="","",I994/TpM)</f>
        <v/>
      </c>
      <c r="K994" s="69">
        <f>IF(H994="","",COUNTIFS($A$7:$A$1006,A994,$C$7:$C$1006,"&gt;0")-H994)</f>
        <v/>
      </c>
      <c r="L994" s="69">
        <f>IF(H994="","",A994&amp;"|"&amp;H994)</f>
        <v/>
      </c>
      <c r="M994" s="69">
        <f>IF(A994="","",IFERROR(INDEX(Bestand!$AC$14:$AC$213,MATCH(A994,Bestand!$A$14:$A$213,0)),0))</f>
        <v/>
      </c>
      <c r="N994" s="69">
        <f>IF(OR(H994="",M994&lt;&gt;1),"",C994+ROW()/100000)</f>
        <v/>
      </c>
    </row>
    <row r="995" ht="20" customHeight="1">
      <c r="A995" s="60" t="n"/>
      <c r="B995" s="65">
        <f>IF(A995="","",IFERROR(INDEX(Bestand!$B$14:$B$213,MATCH(A995,Bestand!$A$14:$A$213,0)),"ID unbekannt"))</f>
        <v/>
      </c>
      <c r="C995" s="63" t="n"/>
      <c r="D995" s="62" t="n"/>
      <c r="E995" s="60" t="n"/>
      <c r="F995" s="60" t="n"/>
      <c r="G995" s="61" t="n"/>
      <c r="H995" s="69">
        <f>IF(OR(A995="",C995=""),"",COUNTIFS($A$7:$A$1006,A995,$C$7:$C$1006,"&lt;"&amp;C995)+1)</f>
        <v/>
      </c>
      <c r="I995" s="67">
        <f>IF(H995="","",IF(H995=1,"",C995-_xlfn.MAXIFS($C$7:$C$1006,$A$7:$A$1006,A995,$C$7:$C$1006,"&lt;"&amp;C995)))</f>
        <v/>
      </c>
      <c r="J995" s="68">
        <f>IF(I995="","",I995/TpM)</f>
        <v/>
      </c>
      <c r="K995" s="69">
        <f>IF(H995="","",COUNTIFS($A$7:$A$1006,A995,$C$7:$C$1006,"&gt;0")-H995)</f>
        <v/>
      </c>
      <c r="L995" s="69">
        <f>IF(H995="","",A995&amp;"|"&amp;H995)</f>
        <v/>
      </c>
      <c r="M995" s="69">
        <f>IF(A995="","",IFERROR(INDEX(Bestand!$AC$14:$AC$213,MATCH(A995,Bestand!$A$14:$A$213,0)),0))</f>
        <v/>
      </c>
      <c r="N995" s="69">
        <f>IF(OR(H995="",M995&lt;&gt;1),"",C995+ROW()/100000)</f>
        <v/>
      </c>
    </row>
    <row r="996" ht="20" customHeight="1">
      <c r="A996" s="60" t="n"/>
      <c r="B996" s="65">
        <f>IF(A996="","",IFERROR(INDEX(Bestand!$B$14:$B$213,MATCH(A996,Bestand!$A$14:$A$213,0)),"ID unbekannt"))</f>
        <v/>
      </c>
      <c r="C996" s="63" t="n"/>
      <c r="D996" s="62" t="n"/>
      <c r="E996" s="60" t="n"/>
      <c r="F996" s="60" t="n"/>
      <c r="G996" s="61" t="n"/>
      <c r="H996" s="69">
        <f>IF(OR(A996="",C996=""),"",COUNTIFS($A$7:$A$1006,A996,$C$7:$C$1006,"&lt;"&amp;C996)+1)</f>
        <v/>
      </c>
      <c r="I996" s="67">
        <f>IF(H996="","",IF(H996=1,"",C996-_xlfn.MAXIFS($C$7:$C$1006,$A$7:$A$1006,A996,$C$7:$C$1006,"&lt;"&amp;C996)))</f>
        <v/>
      </c>
      <c r="J996" s="68">
        <f>IF(I996="","",I996/TpM)</f>
        <v/>
      </c>
      <c r="K996" s="69">
        <f>IF(H996="","",COUNTIFS($A$7:$A$1006,A996,$C$7:$C$1006,"&gt;0")-H996)</f>
        <v/>
      </c>
      <c r="L996" s="69">
        <f>IF(H996="","",A996&amp;"|"&amp;H996)</f>
        <v/>
      </c>
      <c r="M996" s="69">
        <f>IF(A996="","",IFERROR(INDEX(Bestand!$AC$14:$AC$213,MATCH(A996,Bestand!$A$14:$A$213,0)),0))</f>
        <v/>
      </c>
      <c r="N996" s="69">
        <f>IF(OR(H996="",M996&lt;&gt;1),"",C996+ROW()/100000)</f>
        <v/>
      </c>
    </row>
    <row r="997" ht="20" customHeight="1">
      <c r="A997" s="60" t="n"/>
      <c r="B997" s="65">
        <f>IF(A997="","",IFERROR(INDEX(Bestand!$B$14:$B$213,MATCH(A997,Bestand!$A$14:$A$213,0)),"ID unbekannt"))</f>
        <v/>
      </c>
      <c r="C997" s="63" t="n"/>
      <c r="D997" s="62" t="n"/>
      <c r="E997" s="60" t="n"/>
      <c r="F997" s="60" t="n"/>
      <c r="G997" s="61" t="n"/>
      <c r="H997" s="69">
        <f>IF(OR(A997="",C997=""),"",COUNTIFS($A$7:$A$1006,A997,$C$7:$C$1006,"&lt;"&amp;C997)+1)</f>
        <v/>
      </c>
      <c r="I997" s="67">
        <f>IF(H997="","",IF(H997=1,"",C997-_xlfn.MAXIFS($C$7:$C$1006,$A$7:$A$1006,A997,$C$7:$C$1006,"&lt;"&amp;C997)))</f>
        <v/>
      </c>
      <c r="J997" s="68">
        <f>IF(I997="","",I997/TpM)</f>
        <v/>
      </c>
      <c r="K997" s="69">
        <f>IF(H997="","",COUNTIFS($A$7:$A$1006,A997,$C$7:$C$1006,"&gt;0")-H997)</f>
        <v/>
      </c>
      <c r="L997" s="69">
        <f>IF(H997="","",A997&amp;"|"&amp;H997)</f>
        <v/>
      </c>
      <c r="M997" s="69">
        <f>IF(A997="","",IFERROR(INDEX(Bestand!$AC$14:$AC$213,MATCH(A997,Bestand!$A$14:$A$213,0)),0))</f>
        <v/>
      </c>
      <c r="N997" s="69">
        <f>IF(OR(H997="",M997&lt;&gt;1),"",C997+ROW()/100000)</f>
        <v/>
      </c>
    </row>
    <row r="998" ht="20" customHeight="1">
      <c r="A998" s="60" t="n"/>
      <c r="B998" s="65">
        <f>IF(A998="","",IFERROR(INDEX(Bestand!$B$14:$B$213,MATCH(A998,Bestand!$A$14:$A$213,0)),"ID unbekannt"))</f>
        <v/>
      </c>
      <c r="C998" s="63" t="n"/>
      <c r="D998" s="62" t="n"/>
      <c r="E998" s="60" t="n"/>
      <c r="F998" s="60" t="n"/>
      <c r="G998" s="61" t="n"/>
      <c r="H998" s="69">
        <f>IF(OR(A998="",C998=""),"",COUNTIFS($A$7:$A$1006,A998,$C$7:$C$1006,"&lt;"&amp;C998)+1)</f>
        <v/>
      </c>
      <c r="I998" s="67">
        <f>IF(H998="","",IF(H998=1,"",C998-_xlfn.MAXIFS($C$7:$C$1006,$A$7:$A$1006,A998,$C$7:$C$1006,"&lt;"&amp;C998)))</f>
        <v/>
      </c>
      <c r="J998" s="68">
        <f>IF(I998="","",I998/TpM)</f>
        <v/>
      </c>
      <c r="K998" s="69">
        <f>IF(H998="","",COUNTIFS($A$7:$A$1006,A998,$C$7:$C$1006,"&gt;0")-H998)</f>
        <v/>
      </c>
      <c r="L998" s="69">
        <f>IF(H998="","",A998&amp;"|"&amp;H998)</f>
        <v/>
      </c>
      <c r="M998" s="69">
        <f>IF(A998="","",IFERROR(INDEX(Bestand!$AC$14:$AC$213,MATCH(A998,Bestand!$A$14:$A$213,0)),0))</f>
        <v/>
      </c>
      <c r="N998" s="69">
        <f>IF(OR(H998="",M998&lt;&gt;1),"",C998+ROW()/100000)</f>
        <v/>
      </c>
    </row>
    <row r="999" ht="20" customHeight="1">
      <c r="A999" s="60" t="n"/>
      <c r="B999" s="65">
        <f>IF(A999="","",IFERROR(INDEX(Bestand!$B$14:$B$213,MATCH(A999,Bestand!$A$14:$A$213,0)),"ID unbekannt"))</f>
        <v/>
      </c>
      <c r="C999" s="63" t="n"/>
      <c r="D999" s="62" t="n"/>
      <c r="E999" s="60" t="n"/>
      <c r="F999" s="60" t="n"/>
      <c r="G999" s="61" t="n"/>
      <c r="H999" s="69">
        <f>IF(OR(A999="",C999=""),"",COUNTIFS($A$7:$A$1006,A999,$C$7:$C$1006,"&lt;"&amp;C999)+1)</f>
        <v/>
      </c>
      <c r="I999" s="67">
        <f>IF(H999="","",IF(H999=1,"",C999-_xlfn.MAXIFS($C$7:$C$1006,$A$7:$A$1006,A999,$C$7:$C$1006,"&lt;"&amp;C999)))</f>
        <v/>
      </c>
      <c r="J999" s="68">
        <f>IF(I999="","",I999/TpM)</f>
        <v/>
      </c>
      <c r="K999" s="69">
        <f>IF(H999="","",COUNTIFS($A$7:$A$1006,A999,$C$7:$C$1006,"&gt;0")-H999)</f>
        <v/>
      </c>
      <c r="L999" s="69">
        <f>IF(H999="","",A999&amp;"|"&amp;H999)</f>
        <v/>
      </c>
      <c r="M999" s="69">
        <f>IF(A999="","",IFERROR(INDEX(Bestand!$AC$14:$AC$213,MATCH(A999,Bestand!$A$14:$A$213,0)),0))</f>
        <v/>
      </c>
      <c r="N999" s="69">
        <f>IF(OR(H999="",M999&lt;&gt;1),"",C999+ROW()/100000)</f>
        <v/>
      </c>
    </row>
    <row r="1000" ht="20" customHeight="1">
      <c r="A1000" s="60" t="n"/>
      <c r="B1000" s="65">
        <f>IF(A1000="","",IFERROR(INDEX(Bestand!$B$14:$B$213,MATCH(A1000,Bestand!$A$14:$A$213,0)),"ID unbekannt"))</f>
        <v/>
      </c>
      <c r="C1000" s="63" t="n"/>
      <c r="D1000" s="62" t="n"/>
      <c r="E1000" s="60" t="n"/>
      <c r="F1000" s="60" t="n"/>
      <c r="G1000" s="61" t="n"/>
      <c r="H1000" s="69">
        <f>IF(OR(A1000="",C1000=""),"",COUNTIFS($A$7:$A$1006,A1000,$C$7:$C$1006,"&lt;"&amp;C1000)+1)</f>
        <v/>
      </c>
      <c r="I1000" s="67">
        <f>IF(H1000="","",IF(H1000=1,"",C1000-_xlfn.MAXIFS($C$7:$C$1006,$A$7:$A$1006,A1000,$C$7:$C$1006,"&lt;"&amp;C1000)))</f>
        <v/>
      </c>
      <c r="J1000" s="68">
        <f>IF(I1000="","",I1000/TpM)</f>
        <v/>
      </c>
      <c r="K1000" s="69">
        <f>IF(H1000="","",COUNTIFS($A$7:$A$1006,A1000,$C$7:$C$1006,"&gt;0")-H1000)</f>
        <v/>
      </c>
      <c r="L1000" s="69">
        <f>IF(H1000="","",A1000&amp;"|"&amp;H1000)</f>
        <v/>
      </c>
      <c r="M1000" s="69">
        <f>IF(A1000="","",IFERROR(INDEX(Bestand!$AC$14:$AC$213,MATCH(A1000,Bestand!$A$14:$A$213,0)),0))</f>
        <v/>
      </c>
      <c r="N1000" s="69">
        <f>IF(OR(H1000="",M1000&lt;&gt;1),"",C1000+ROW()/100000)</f>
        <v/>
      </c>
    </row>
    <row r="1001" ht="20" customHeight="1">
      <c r="A1001" s="60" t="n"/>
      <c r="B1001" s="65">
        <f>IF(A1001="","",IFERROR(INDEX(Bestand!$B$14:$B$213,MATCH(A1001,Bestand!$A$14:$A$213,0)),"ID unbekannt"))</f>
        <v/>
      </c>
      <c r="C1001" s="63" t="n"/>
      <c r="D1001" s="62" t="n"/>
      <c r="E1001" s="60" t="n"/>
      <c r="F1001" s="60" t="n"/>
      <c r="G1001" s="61" t="n"/>
      <c r="H1001" s="69">
        <f>IF(OR(A1001="",C1001=""),"",COUNTIFS($A$7:$A$1006,A1001,$C$7:$C$1006,"&lt;"&amp;C1001)+1)</f>
        <v/>
      </c>
      <c r="I1001" s="67">
        <f>IF(H1001="","",IF(H1001=1,"",C1001-_xlfn.MAXIFS($C$7:$C$1006,$A$7:$A$1006,A1001,$C$7:$C$1006,"&lt;"&amp;C1001)))</f>
        <v/>
      </c>
      <c r="J1001" s="68">
        <f>IF(I1001="","",I1001/TpM)</f>
        <v/>
      </c>
      <c r="K1001" s="69">
        <f>IF(H1001="","",COUNTIFS($A$7:$A$1006,A1001,$C$7:$C$1006,"&gt;0")-H1001)</f>
        <v/>
      </c>
      <c r="L1001" s="69">
        <f>IF(H1001="","",A1001&amp;"|"&amp;H1001)</f>
        <v/>
      </c>
      <c r="M1001" s="69">
        <f>IF(A1001="","",IFERROR(INDEX(Bestand!$AC$14:$AC$213,MATCH(A1001,Bestand!$A$14:$A$213,0)),0))</f>
        <v/>
      </c>
      <c r="N1001" s="69">
        <f>IF(OR(H1001="",M1001&lt;&gt;1),"",C1001+ROW()/100000)</f>
        <v/>
      </c>
    </row>
    <row r="1002" ht="20" customHeight="1">
      <c r="A1002" s="60" t="n"/>
      <c r="B1002" s="65">
        <f>IF(A1002="","",IFERROR(INDEX(Bestand!$B$14:$B$213,MATCH(A1002,Bestand!$A$14:$A$213,0)),"ID unbekannt"))</f>
        <v/>
      </c>
      <c r="C1002" s="63" t="n"/>
      <c r="D1002" s="62" t="n"/>
      <c r="E1002" s="60" t="n"/>
      <c r="F1002" s="60" t="n"/>
      <c r="G1002" s="61" t="n"/>
      <c r="H1002" s="69">
        <f>IF(OR(A1002="",C1002=""),"",COUNTIFS($A$7:$A$1006,A1002,$C$7:$C$1006,"&lt;"&amp;C1002)+1)</f>
        <v/>
      </c>
      <c r="I1002" s="67">
        <f>IF(H1002="","",IF(H1002=1,"",C1002-_xlfn.MAXIFS($C$7:$C$1006,$A$7:$A$1006,A1002,$C$7:$C$1006,"&lt;"&amp;C1002)))</f>
        <v/>
      </c>
      <c r="J1002" s="68">
        <f>IF(I1002="","",I1002/TpM)</f>
        <v/>
      </c>
      <c r="K1002" s="69">
        <f>IF(H1002="","",COUNTIFS($A$7:$A$1006,A1002,$C$7:$C$1006,"&gt;0")-H1002)</f>
        <v/>
      </c>
      <c r="L1002" s="69">
        <f>IF(H1002="","",A1002&amp;"|"&amp;H1002)</f>
        <v/>
      </c>
      <c r="M1002" s="69">
        <f>IF(A1002="","",IFERROR(INDEX(Bestand!$AC$14:$AC$213,MATCH(A1002,Bestand!$A$14:$A$213,0)),0))</f>
        <v/>
      </c>
      <c r="N1002" s="69">
        <f>IF(OR(H1002="",M1002&lt;&gt;1),"",C1002+ROW()/100000)</f>
        <v/>
      </c>
    </row>
    <row r="1003" ht="20" customHeight="1">
      <c r="A1003" s="60" t="n"/>
      <c r="B1003" s="65">
        <f>IF(A1003="","",IFERROR(INDEX(Bestand!$B$14:$B$213,MATCH(A1003,Bestand!$A$14:$A$213,0)),"ID unbekannt"))</f>
        <v/>
      </c>
      <c r="C1003" s="63" t="n"/>
      <c r="D1003" s="62" t="n"/>
      <c r="E1003" s="60" t="n"/>
      <c r="F1003" s="60" t="n"/>
      <c r="G1003" s="61" t="n"/>
      <c r="H1003" s="69">
        <f>IF(OR(A1003="",C1003=""),"",COUNTIFS($A$7:$A$1006,A1003,$C$7:$C$1006,"&lt;"&amp;C1003)+1)</f>
        <v/>
      </c>
      <c r="I1003" s="67">
        <f>IF(H1003="","",IF(H1003=1,"",C1003-_xlfn.MAXIFS($C$7:$C$1006,$A$7:$A$1006,A1003,$C$7:$C$1006,"&lt;"&amp;C1003)))</f>
        <v/>
      </c>
      <c r="J1003" s="68">
        <f>IF(I1003="","",I1003/TpM)</f>
        <v/>
      </c>
      <c r="K1003" s="69">
        <f>IF(H1003="","",COUNTIFS($A$7:$A$1006,A1003,$C$7:$C$1006,"&gt;0")-H1003)</f>
        <v/>
      </c>
      <c r="L1003" s="69">
        <f>IF(H1003="","",A1003&amp;"|"&amp;H1003)</f>
        <v/>
      </c>
      <c r="M1003" s="69">
        <f>IF(A1003="","",IFERROR(INDEX(Bestand!$AC$14:$AC$213,MATCH(A1003,Bestand!$A$14:$A$213,0)),0))</f>
        <v/>
      </c>
      <c r="N1003" s="69">
        <f>IF(OR(H1003="",M1003&lt;&gt;1),"",C1003+ROW()/100000)</f>
        <v/>
      </c>
    </row>
    <row r="1004" ht="20" customHeight="1">
      <c r="A1004" s="60" t="n"/>
      <c r="B1004" s="65">
        <f>IF(A1004="","",IFERROR(INDEX(Bestand!$B$14:$B$213,MATCH(A1004,Bestand!$A$14:$A$213,0)),"ID unbekannt"))</f>
        <v/>
      </c>
      <c r="C1004" s="63" t="n"/>
      <c r="D1004" s="62" t="n"/>
      <c r="E1004" s="60" t="n"/>
      <c r="F1004" s="60" t="n"/>
      <c r="G1004" s="61" t="n"/>
      <c r="H1004" s="69">
        <f>IF(OR(A1004="",C1004=""),"",COUNTIFS($A$7:$A$1006,A1004,$C$7:$C$1006,"&lt;"&amp;C1004)+1)</f>
        <v/>
      </c>
      <c r="I1004" s="67">
        <f>IF(H1004="","",IF(H1004=1,"",C1004-_xlfn.MAXIFS($C$7:$C$1006,$A$7:$A$1006,A1004,$C$7:$C$1006,"&lt;"&amp;C1004)))</f>
        <v/>
      </c>
      <c r="J1004" s="68">
        <f>IF(I1004="","",I1004/TpM)</f>
        <v/>
      </c>
      <c r="K1004" s="69">
        <f>IF(H1004="","",COUNTIFS($A$7:$A$1006,A1004,$C$7:$C$1006,"&gt;0")-H1004)</f>
        <v/>
      </c>
      <c r="L1004" s="69">
        <f>IF(H1004="","",A1004&amp;"|"&amp;H1004)</f>
        <v/>
      </c>
      <c r="M1004" s="69">
        <f>IF(A1004="","",IFERROR(INDEX(Bestand!$AC$14:$AC$213,MATCH(A1004,Bestand!$A$14:$A$213,0)),0))</f>
        <v/>
      </c>
      <c r="N1004" s="69">
        <f>IF(OR(H1004="",M1004&lt;&gt;1),"",C1004+ROW()/100000)</f>
        <v/>
      </c>
    </row>
    <row r="1005" ht="20" customHeight="1">
      <c r="A1005" s="60" t="n"/>
      <c r="B1005" s="65">
        <f>IF(A1005="","",IFERROR(INDEX(Bestand!$B$14:$B$213,MATCH(A1005,Bestand!$A$14:$A$213,0)),"ID unbekannt"))</f>
        <v/>
      </c>
      <c r="C1005" s="63" t="n"/>
      <c r="D1005" s="62" t="n"/>
      <c r="E1005" s="60" t="n"/>
      <c r="F1005" s="60" t="n"/>
      <c r="G1005" s="61" t="n"/>
      <c r="H1005" s="69">
        <f>IF(OR(A1005="",C1005=""),"",COUNTIFS($A$7:$A$1006,A1005,$C$7:$C$1006,"&lt;"&amp;C1005)+1)</f>
        <v/>
      </c>
      <c r="I1005" s="67">
        <f>IF(H1005="","",IF(H1005=1,"",C1005-_xlfn.MAXIFS($C$7:$C$1006,$A$7:$A$1006,A1005,$C$7:$C$1006,"&lt;"&amp;C1005)))</f>
        <v/>
      </c>
      <c r="J1005" s="68">
        <f>IF(I1005="","",I1005/TpM)</f>
        <v/>
      </c>
      <c r="K1005" s="69">
        <f>IF(H1005="","",COUNTIFS($A$7:$A$1006,A1005,$C$7:$C$1006,"&gt;0")-H1005)</f>
        <v/>
      </c>
      <c r="L1005" s="69">
        <f>IF(H1005="","",A1005&amp;"|"&amp;H1005)</f>
        <v/>
      </c>
      <c r="M1005" s="69">
        <f>IF(A1005="","",IFERROR(INDEX(Bestand!$AC$14:$AC$213,MATCH(A1005,Bestand!$A$14:$A$213,0)),0))</f>
        <v/>
      </c>
      <c r="N1005" s="69">
        <f>IF(OR(H1005="",M1005&lt;&gt;1),"",C1005+ROW()/100000)</f>
        <v/>
      </c>
    </row>
    <row r="1006" ht="20" customHeight="1">
      <c r="A1006" s="60" t="n"/>
      <c r="B1006" s="65">
        <f>IF(A1006="","",IFERROR(INDEX(Bestand!$B$14:$B$213,MATCH(A1006,Bestand!$A$14:$A$213,0)),"ID unbekannt"))</f>
        <v/>
      </c>
      <c r="C1006" s="63" t="n"/>
      <c r="D1006" s="62" t="n"/>
      <c r="E1006" s="60" t="n"/>
      <c r="F1006" s="60" t="n"/>
      <c r="G1006" s="61" t="n"/>
      <c r="H1006" s="69">
        <f>IF(OR(A1006="",C1006=""),"",COUNTIFS($A$7:$A$1006,A1006,$C$7:$C$1006,"&lt;"&amp;C1006)+1)</f>
        <v/>
      </c>
      <c r="I1006" s="67">
        <f>IF(H1006="","",IF(H1006=1,"",C1006-_xlfn.MAXIFS($C$7:$C$1006,$A$7:$A$1006,A1006,$C$7:$C$1006,"&lt;"&amp;C1006)))</f>
        <v/>
      </c>
      <c r="J1006" s="68">
        <f>IF(I1006="","",I1006/TpM)</f>
        <v/>
      </c>
      <c r="K1006" s="69">
        <f>IF(H1006="","",COUNTIFS($A$7:$A$1006,A1006,$C$7:$C$1006,"&gt;0")-H1006)</f>
        <v/>
      </c>
      <c r="L1006" s="69">
        <f>IF(H1006="","",A1006&amp;"|"&amp;H1006)</f>
        <v/>
      </c>
      <c r="M1006" s="69">
        <f>IF(A1006="","",IFERROR(INDEX(Bestand!$AC$14:$AC$213,MATCH(A1006,Bestand!$A$14:$A$213,0)),0))</f>
        <v/>
      </c>
      <c r="N1006" s="69">
        <f>IF(OR(H1006="",M1006&lt;&gt;1),"",C1006+ROW()/100000)</f>
        <v/>
      </c>
    </row>
  </sheetData>
  <conditionalFormatting sqref="B7:B1006">
    <cfRule type="expression" priority="1" dxfId="6">
      <formula>$B7="ID unbekannt"</formula>
    </cfRule>
  </conditionalFormatting>
  <conditionalFormatting sqref="J7:J1006">
    <cfRule type="dataBar" priority="2">
      <dataBar>
        <cfvo type="num" val="0"/>
        <cfvo type="max"/>
        <color rgb="009DB38A"/>
      </dataBar>
    </cfRule>
  </conditionalFormatting>
  <dataValidations count="4">
    <dataValidation sqref="A7:A1006" showDropDown="0" showInputMessage="0" showErrorMessage="1" allowBlank="1" error="Bitte einen Wert aus der Liste wählen." type="list">
      <formula1>=Bestand!$A$14:$A$213</formula1>
    </dataValidation>
    <dataValidation sqref="E7:E1006" showDropDown="0" showInputMessage="0" showErrorMessage="1" allowBlank="1" error="Bitte einen Wert aus der Liste wählen." type="list">
      <formula1>=lstJaNein</formula1>
    </dataValidation>
    <dataValidation sqref="F7:F1006" showDropDown="0" showInputMessage="0" showErrorMessage="1" allowBlank="1" error="Bitte einen Wert aus der Liste wählen." type="list">
      <formula1>=lstExuvie</formula1>
    </dataValidation>
    <dataValidation sqref="C7:C1006" showDropDown="0" showInputMessage="0" showErrorMessage="1" allowBlank="1" error="Bitte ein Datum eingeben, z.B. 14.03.2026" type="date" operator="greaterThan">
      <formula1>DATE(1990,1,1)</formula1>
    </dataValidation>
  </dataValidations>
  <hyperlinks>
    <hyperlink xmlns:r="http://schemas.openxmlformats.org/officeDocument/2006/relationships" ref="J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tabColor rgb="00B8862B"/>
    <outlinePr summaryBelow="1" summaryRight="1"/>
    <pageSetUpPr/>
  </sheetPr>
  <dimension ref="A1:H2006"/>
  <sheetViews>
    <sheetView showGridLines="0" tabSelected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3" customWidth="1" min="3" max="3"/>
    <col width="22" customWidth="1" min="4" max="4"/>
    <col width="13" customWidth="1" min="5" max="5"/>
    <col width="34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VOGELSPINNEN BESTANDSBUCH</t>
        </is>
      </c>
      <c r="B2" s="3" t="n"/>
      <c r="C2" s="3" t="n"/>
      <c r="D2" s="3" t="n"/>
      <c r="E2" s="3" t="n"/>
      <c r="F2" s="28" t="inlineStr">
        <is>
          <t>vogelspinner.net</t>
        </is>
      </c>
      <c r="G2" s="1" t="n"/>
      <c r="H2" s="1" t="n"/>
    </row>
    <row r="3" ht="20" customHeight="1">
      <c r="A3" s="4" t="inlineStr">
        <is>
          <t>Optional. Nur angenommene Fütterungen zählen für die Warnung „Frisst nicht“.</t>
        </is>
      </c>
      <c r="B3" s="3" t="n"/>
      <c r="C3" s="3" t="n"/>
      <c r="D3" s="3" t="n"/>
      <c r="E3" s="3" t="n"/>
      <c r="F3" s="29" t="inlineStr">
        <is>
          <t>Kostenlose Vorlage</t>
        </is>
      </c>
      <c r="G3" s="1" t="n"/>
      <c r="H3" s="1" t="n"/>
    </row>
    <row r="4" ht="8" customHeight="1">
      <c r="A4" s="1" t="n"/>
      <c r="B4" s="1" t="n"/>
      <c r="C4" s="1" t="n"/>
      <c r="D4" s="1" t="n"/>
      <c r="E4" s="1" t="n"/>
      <c r="F4" s="1" t="n"/>
      <c r="G4" s="1" t="n"/>
      <c r="H4" s="1" t="n"/>
    </row>
    <row r="6" ht="30" customHeight="1">
      <c r="A6" s="57" t="inlineStr">
        <is>
          <t>Tier-ID</t>
        </is>
      </c>
      <c r="B6" s="58" t="inlineStr">
        <is>
          <t>Name</t>
        </is>
      </c>
      <c r="C6" s="57" t="inlineStr">
        <is>
          <t>Datum</t>
        </is>
      </c>
      <c r="D6" s="57" t="inlineStr">
        <is>
          <t>Futtertier</t>
        </is>
      </c>
      <c r="E6" s="57" t="inlineStr">
        <is>
          <t>Angenommen</t>
        </is>
      </c>
      <c r="F6" s="57" t="inlineStr">
        <is>
          <t>Notiz</t>
        </is>
      </c>
    </row>
    <row r="7">
      <c r="A7" s="60" t="inlineStr">
        <is>
          <t>T001</t>
        </is>
      </c>
      <c r="B7" s="65">
        <f>IF(A7="","",IFERROR(INDEX(Bestand!$B$14:$B$213,MATCH(A7,Bestand!$A$14:$A$213,0)),"ID unbekannt"))</f>
        <v/>
      </c>
      <c r="C7" s="63" t="n">
        <v>46277</v>
      </c>
      <c r="D7" s="61" t="inlineStr">
        <is>
          <t>Heimchen</t>
        </is>
      </c>
      <c r="E7" s="60" t="inlineStr">
        <is>
          <t>Ja</t>
        </is>
      </c>
      <c r="F7" s="61" t="n"/>
    </row>
    <row r="8">
      <c r="A8" s="60" t="inlineStr">
        <is>
          <t>T002</t>
        </is>
      </c>
      <c r="B8" s="65">
        <f>IF(A8="","",IFERROR(INDEX(Bestand!$B$14:$B$213,MATCH(A8,Bestand!$A$14:$A$213,0)),"ID unbekannt"))</f>
        <v/>
      </c>
      <c r="C8" s="63" t="n">
        <v>46290</v>
      </c>
      <c r="D8" s="61" t="inlineStr">
        <is>
          <t>Steppengrillen</t>
        </is>
      </c>
      <c r="E8" s="60" t="inlineStr">
        <is>
          <t>Ja</t>
        </is>
      </c>
      <c r="F8" s="61" t="n"/>
    </row>
    <row r="9">
      <c r="A9" s="60" t="inlineStr">
        <is>
          <t>T003</t>
        </is>
      </c>
      <c r="B9" s="65">
        <f>IF(A9="","",IFERROR(INDEX(Bestand!$B$14:$B$213,MATCH(A9,Bestand!$A$14:$A$213,0)),"ID unbekannt"))</f>
        <v/>
      </c>
      <c r="C9" s="63" t="n">
        <v>46285</v>
      </c>
      <c r="D9" s="61" t="inlineStr">
        <is>
          <t>Argentinische Schaben</t>
        </is>
      </c>
      <c r="E9" s="60" t="inlineStr">
        <is>
          <t>Ja</t>
        </is>
      </c>
      <c r="F9" s="61" t="n"/>
    </row>
    <row r="10">
      <c r="A10" s="60" t="inlineStr">
        <is>
          <t>T004</t>
        </is>
      </c>
      <c r="B10" s="65">
        <f>IF(A10="","",IFERROR(INDEX(Bestand!$B$14:$B$213,MATCH(A10,Bestand!$A$14:$A$213,0)),"ID unbekannt"))</f>
        <v/>
      </c>
      <c r="C10" s="63" t="n">
        <v>46293</v>
      </c>
      <c r="D10" s="61" t="inlineStr">
        <is>
          <t>Heimchen</t>
        </is>
      </c>
      <c r="E10" s="60" t="inlineStr">
        <is>
          <t>Ja</t>
        </is>
      </c>
      <c r="F10" s="61" t="n"/>
    </row>
    <row r="11">
      <c r="A11" s="60" t="inlineStr">
        <is>
          <t>T005</t>
        </is>
      </c>
      <c r="B11" s="65">
        <f>IF(A11="","",IFERROR(INDEX(Bestand!$B$14:$B$213,MATCH(A11,Bestand!$A$14:$A$213,0)),"ID unbekannt"))</f>
        <v/>
      </c>
      <c r="C11" s="63" t="n">
        <v>46275</v>
      </c>
      <c r="D11" s="61" t="inlineStr">
        <is>
          <t>Steppengrillen</t>
        </is>
      </c>
      <c r="E11" s="60" t="inlineStr">
        <is>
          <t>Nein</t>
        </is>
      </c>
      <c r="F11" s="61" t="n"/>
    </row>
    <row r="12">
      <c r="A12" s="60" t="inlineStr">
        <is>
          <t>T005</t>
        </is>
      </c>
      <c r="B12" s="65">
        <f>IF(A12="","",IFERROR(INDEX(Bestand!$B$14:$B$213,MATCH(A12,Bestand!$A$14:$A$213,0)),"ID unbekannt"))</f>
        <v/>
      </c>
      <c r="C12" s="63" t="n">
        <v>46264</v>
      </c>
      <c r="D12" s="61" t="inlineStr">
        <is>
          <t>Steppengrillen</t>
        </is>
      </c>
      <c r="E12" s="60" t="inlineStr">
        <is>
          <t>Ja</t>
        </is>
      </c>
      <c r="F12" s="61" t="n"/>
    </row>
    <row r="13">
      <c r="A13" s="60" t="inlineStr">
        <is>
          <t>T006</t>
        </is>
      </c>
      <c r="B13" s="65">
        <f>IF(A13="","",IFERROR(INDEX(Bestand!$B$14:$B$213,MATCH(A13,Bestand!$A$14:$A$213,0)),"ID unbekannt"))</f>
        <v/>
      </c>
      <c r="C13" s="63" t="n">
        <v>46193</v>
      </c>
      <c r="D13" s="61" t="inlineStr">
        <is>
          <t>Argentinische Schaben</t>
        </is>
      </c>
      <c r="E13" s="60" t="inlineStr">
        <is>
          <t>Ja</t>
        </is>
      </c>
      <c r="F13" s="61" t="n"/>
    </row>
    <row r="14">
      <c r="A14" s="60" t="inlineStr">
        <is>
          <t>T006</t>
        </is>
      </c>
      <c r="B14" s="65">
        <f>IF(A14="","",IFERROR(INDEX(Bestand!$B$14:$B$213,MATCH(A14,Bestand!$A$14:$A$213,0)),"ID unbekannt"))</f>
        <v/>
      </c>
      <c r="C14" s="63" t="n">
        <v>46239</v>
      </c>
      <c r="D14" s="61" t="inlineStr">
        <is>
          <t>Argentinische Schaben</t>
        </is>
      </c>
      <c r="E14" s="60" t="inlineStr">
        <is>
          <t>Nein</t>
        </is>
      </c>
      <c r="F14" s="61" t="n"/>
    </row>
    <row r="15">
      <c r="A15" s="60" t="inlineStr">
        <is>
          <t>T006</t>
        </is>
      </c>
      <c r="B15" s="65">
        <f>IF(A15="","",IFERROR(INDEX(Bestand!$B$14:$B$213,MATCH(A15,Bestand!$A$14:$A$213,0)),"ID unbekannt"))</f>
        <v/>
      </c>
      <c r="C15" s="63" t="n">
        <v>46280</v>
      </c>
      <c r="D15" s="61" t="inlineStr">
        <is>
          <t>Heimchen</t>
        </is>
      </c>
      <c r="E15" s="60" t="inlineStr">
        <is>
          <t>Nein</t>
        </is>
      </c>
      <c r="F15" s="61" t="n"/>
    </row>
    <row r="16">
      <c r="A16" s="60" t="n"/>
      <c r="B16" s="65">
        <f>IF(A16="","",IFERROR(INDEX(Bestand!$B$14:$B$213,MATCH(A16,Bestand!$A$14:$A$213,0)),"ID unbekannt"))</f>
        <v/>
      </c>
      <c r="C16" s="63" t="n"/>
      <c r="D16" s="61" t="n"/>
      <c r="E16" s="60" t="n"/>
      <c r="F16" s="61" t="n"/>
    </row>
    <row r="17">
      <c r="A17" s="60" t="n"/>
      <c r="B17" s="65">
        <f>IF(A17="","",IFERROR(INDEX(Bestand!$B$14:$B$213,MATCH(A17,Bestand!$A$14:$A$213,0)),"ID unbekannt"))</f>
        <v/>
      </c>
      <c r="C17" s="63" t="n"/>
      <c r="D17" s="61" t="n"/>
      <c r="E17" s="60" t="n"/>
      <c r="F17" s="61" t="n"/>
    </row>
    <row r="18">
      <c r="A18" s="60" t="n"/>
      <c r="B18" s="65">
        <f>IF(A18="","",IFERROR(INDEX(Bestand!$B$14:$B$213,MATCH(A18,Bestand!$A$14:$A$213,0)),"ID unbekannt"))</f>
        <v/>
      </c>
      <c r="C18" s="63" t="n"/>
      <c r="D18" s="61" t="n"/>
      <c r="E18" s="60" t="n"/>
      <c r="F18" s="61" t="n"/>
    </row>
    <row r="19">
      <c r="A19" s="60" t="n"/>
      <c r="B19" s="65">
        <f>IF(A19="","",IFERROR(INDEX(Bestand!$B$14:$B$213,MATCH(A19,Bestand!$A$14:$A$213,0)),"ID unbekannt"))</f>
        <v/>
      </c>
      <c r="C19" s="63" t="n"/>
      <c r="D19" s="61" t="n"/>
      <c r="E19" s="60" t="n"/>
      <c r="F19" s="61" t="n"/>
    </row>
    <row r="20">
      <c r="A20" s="60" t="n"/>
      <c r="B20" s="65">
        <f>IF(A20="","",IFERROR(INDEX(Bestand!$B$14:$B$213,MATCH(A20,Bestand!$A$14:$A$213,0)),"ID unbekannt"))</f>
        <v/>
      </c>
      <c r="C20" s="63" t="n"/>
      <c r="D20" s="61" t="n"/>
      <c r="E20" s="60" t="n"/>
      <c r="F20" s="61" t="n"/>
    </row>
    <row r="21">
      <c r="A21" s="60" t="n"/>
      <c r="B21" s="65">
        <f>IF(A21="","",IFERROR(INDEX(Bestand!$B$14:$B$213,MATCH(A21,Bestand!$A$14:$A$213,0)),"ID unbekannt"))</f>
        <v/>
      </c>
      <c r="C21" s="63" t="n"/>
      <c r="D21" s="61" t="n"/>
      <c r="E21" s="60" t="n"/>
      <c r="F21" s="61" t="n"/>
    </row>
    <row r="22">
      <c r="A22" s="60" t="n"/>
      <c r="B22" s="65">
        <f>IF(A22="","",IFERROR(INDEX(Bestand!$B$14:$B$213,MATCH(A22,Bestand!$A$14:$A$213,0)),"ID unbekannt"))</f>
        <v/>
      </c>
      <c r="C22" s="63" t="n"/>
      <c r="D22" s="61" t="n"/>
      <c r="E22" s="60" t="n"/>
      <c r="F22" s="61" t="n"/>
    </row>
    <row r="23">
      <c r="A23" s="60" t="n"/>
      <c r="B23" s="65">
        <f>IF(A23="","",IFERROR(INDEX(Bestand!$B$14:$B$213,MATCH(A23,Bestand!$A$14:$A$213,0)),"ID unbekannt"))</f>
        <v/>
      </c>
      <c r="C23" s="63" t="n"/>
      <c r="D23" s="61" t="n"/>
      <c r="E23" s="60" t="n"/>
      <c r="F23" s="61" t="n"/>
    </row>
    <row r="24">
      <c r="A24" s="60" t="n"/>
      <c r="B24" s="65">
        <f>IF(A24="","",IFERROR(INDEX(Bestand!$B$14:$B$213,MATCH(A24,Bestand!$A$14:$A$213,0)),"ID unbekannt"))</f>
        <v/>
      </c>
      <c r="C24" s="63" t="n"/>
      <c r="D24" s="61" t="n"/>
      <c r="E24" s="60" t="n"/>
      <c r="F24" s="61" t="n"/>
    </row>
    <row r="25">
      <c r="A25" s="60" t="n"/>
      <c r="B25" s="65">
        <f>IF(A25="","",IFERROR(INDEX(Bestand!$B$14:$B$213,MATCH(A25,Bestand!$A$14:$A$213,0)),"ID unbekannt"))</f>
        <v/>
      </c>
      <c r="C25" s="63" t="n"/>
      <c r="D25" s="61" t="n"/>
      <c r="E25" s="60" t="n"/>
      <c r="F25" s="61" t="n"/>
    </row>
    <row r="26">
      <c r="A26" s="60" t="n"/>
      <c r="B26" s="65">
        <f>IF(A26="","",IFERROR(INDEX(Bestand!$B$14:$B$213,MATCH(A26,Bestand!$A$14:$A$213,0)),"ID unbekannt"))</f>
        <v/>
      </c>
      <c r="C26" s="63" t="n"/>
      <c r="D26" s="61" t="n"/>
      <c r="E26" s="60" t="n"/>
      <c r="F26" s="61" t="n"/>
    </row>
    <row r="27">
      <c r="A27" s="60" t="n"/>
      <c r="B27" s="65">
        <f>IF(A27="","",IFERROR(INDEX(Bestand!$B$14:$B$213,MATCH(A27,Bestand!$A$14:$A$213,0)),"ID unbekannt"))</f>
        <v/>
      </c>
      <c r="C27" s="63" t="n"/>
      <c r="D27" s="61" t="n"/>
      <c r="E27" s="60" t="n"/>
      <c r="F27" s="61" t="n"/>
    </row>
    <row r="28">
      <c r="A28" s="60" t="n"/>
      <c r="B28" s="65">
        <f>IF(A28="","",IFERROR(INDEX(Bestand!$B$14:$B$213,MATCH(A28,Bestand!$A$14:$A$213,0)),"ID unbekannt"))</f>
        <v/>
      </c>
      <c r="C28" s="63" t="n"/>
      <c r="D28" s="61" t="n"/>
      <c r="E28" s="60" t="n"/>
      <c r="F28" s="61" t="n"/>
    </row>
    <row r="29">
      <c r="A29" s="60" t="n"/>
      <c r="B29" s="65">
        <f>IF(A29="","",IFERROR(INDEX(Bestand!$B$14:$B$213,MATCH(A29,Bestand!$A$14:$A$213,0)),"ID unbekannt"))</f>
        <v/>
      </c>
      <c r="C29" s="63" t="n"/>
      <c r="D29" s="61" t="n"/>
      <c r="E29" s="60" t="n"/>
      <c r="F29" s="61" t="n"/>
    </row>
    <row r="30">
      <c r="A30" s="60" t="n"/>
      <c r="B30" s="65">
        <f>IF(A30="","",IFERROR(INDEX(Bestand!$B$14:$B$213,MATCH(A30,Bestand!$A$14:$A$213,0)),"ID unbekannt"))</f>
        <v/>
      </c>
      <c r="C30" s="63" t="n"/>
      <c r="D30" s="61" t="n"/>
      <c r="E30" s="60" t="n"/>
      <c r="F30" s="61" t="n"/>
    </row>
    <row r="31">
      <c r="A31" s="60" t="n"/>
      <c r="B31" s="65">
        <f>IF(A31="","",IFERROR(INDEX(Bestand!$B$14:$B$213,MATCH(A31,Bestand!$A$14:$A$213,0)),"ID unbekannt"))</f>
        <v/>
      </c>
      <c r="C31" s="63" t="n"/>
      <c r="D31" s="61" t="n"/>
      <c r="E31" s="60" t="n"/>
      <c r="F31" s="61" t="n"/>
    </row>
    <row r="32">
      <c r="A32" s="60" t="n"/>
      <c r="B32" s="65">
        <f>IF(A32="","",IFERROR(INDEX(Bestand!$B$14:$B$213,MATCH(A32,Bestand!$A$14:$A$213,0)),"ID unbekannt"))</f>
        <v/>
      </c>
      <c r="C32" s="63" t="n"/>
      <c r="D32" s="61" t="n"/>
      <c r="E32" s="60" t="n"/>
      <c r="F32" s="61" t="n"/>
    </row>
    <row r="33">
      <c r="A33" s="60" t="n"/>
      <c r="B33" s="65">
        <f>IF(A33="","",IFERROR(INDEX(Bestand!$B$14:$B$213,MATCH(A33,Bestand!$A$14:$A$213,0)),"ID unbekannt"))</f>
        <v/>
      </c>
      <c r="C33" s="63" t="n"/>
      <c r="D33" s="61" t="n"/>
      <c r="E33" s="60" t="n"/>
      <c r="F33" s="61" t="n"/>
    </row>
    <row r="34">
      <c r="A34" s="60" t="n"/>
      <c r="B34" s="65">
        <f>IF(A34="","",IFERROR(INDEX(Bestand!$B$14:$B$213,MATCH(A34,Bestand!$A$14:$A$213,0)),"ID unbekannt"))</f>
        <v/>
      </c>
      <c r="C34" s="63" t="n"/>
      <c r="D34" s="61" t="n"/>
      <c r="E34" s="60" t="n"/>
      <c r="F34" s="61" t="n"/>
    </row>
    <row r="35">
      <c r="A35" s="60" t="n"/>
      <c r="B35" s="65">
        <f>IF(A35="","",IFERROR(INDEX(Bestand!$B$14:$B$213,MATCH(A35,Bestand!$A$14:$A$213,0)),"ID unbekannt"))</f>
        <v/>
      </c>
      <c r="C35" s="63" t="n"/>
      <c r="D35" s="61" t="n"/>
      <c r="E35" s="60" t="n"/>
      <c r="F35" s="61" t="n"/>
    </row>
    <row r="36">
      <c r="A36" s="60" t="n"/>
      <c r="B36" s="65">
        <f>IF(A36="","",IFERROR(INDEX(Bestand!$B$14:$B$213,MATCH(A36,Bestand!$A$14:$A$213,0)),"ID unbekannt"))</f>
        <v/>
      </c>
      <c r="C36" s="63" t="n"/>
      <c r="D36" s="61" t="n"/>
      <c r="E36" s="60" t="n"/>
      <c r="F36" s="61" t="n"/>
    </row>
    <row r="37">
      <c r="A37" s="60" t="n"/>
      <c r="B37" s="65">
        <f>IF(A37="","",IFERROR(INDEX(Bestand!$B$14:$B$213,MATCH(A37,Bestand!$A$14:$A$213,0)),"ID unbekannt"))</f>
        <v/>
      </c>
      <c r="C37" s="63" t="n"/>
      <c r="D37" s="61" t="n"/>
      <c r="E37" s="60" t="n"/>
      <c r="F37" s="61" t="n"/>
    </row>
    <row r="38">
      <c r="A38" s="60" t="n"/>
      <c r="B38" s="65">
        <f>IF(A38="","",IFERROR(INDEX(Bestand!$B$14:$B$213,MATCH(A38,Bestand!$A$14:$A$213,0)),"ID unbekannt"))</f>
        <v/>
      </c>
      <c r="C38" s="63" t="n"/>
      <c r="D38" s="61" t="n"/>
      <c r="E38" s="60" t="n"/>
      <c r="F38" s="61" t="n"/>
    </row>
    <row r="39">
      <c r="A39" s="60" t="n"/>
      <c r="B39" s="65">
        <f>IF(A39="","",IFERROR(INDEX(Bestand!$B$14:$B$213,MATCH(A39,Bestand!$A$14:$A$213,0)),"ID unbekannt"))</f>
        <v/>
      </c>
      <c r="C39" s="63" t="n"/>
      <c r="D39" s="61" t="n"/>
      <c r="E39" s="60" t="n"/>
      <c r="F39" s="61" t="n"/>
    </row>
    <row r="40">
      <c r="A40" s="60" t="n"/>
      <c r="B40" s="65">
        <f>IF(A40="","",IFERROR(INDEX(Bestand!$B$14:$B$213,MATCH(A40,Bestand!$A$14:$A$213,0)),"ID unbekannt"))</f>
        <v/>
      </c>
      <c r="C40" s="63" t="n"/>
      <c r="D40" s="61" t="n"/>
      <c r="E40" s="60" t="n"/>
      <c r="F40" s="61" t="n"/>
    </row>
    <row r="41">
      <c r="A41" s="60" t="n"/>
      <c r="B41" s="65">
        <f>IF(A41="","",IFERROR(INDEX(Bestand!$B$14:$B$213,MATCH(A41,Bestand!$A$14:$A$213,0)),"ID unbekannt"))</f>
        <v/>
      </c>
      <c r="C41" s="63" t="n"/>
      <c r="D41" s="61" t="n"/>
      <c r="E41" s="60" t="n"/>
      <c r="F41" s="61" t="n"/>
    </row>
    <row r="42">
      <c r="A42" s="60" t="n"/>
      <c r="B42" s="65">
        <f>IF(A42="","",IFERROR(INDEX(Bestand!$B$14:$B$213,MATCH(A42,Bestand!$A$14:$A$213,0)),"ID unbekannt"))</f>
        <v/>
      </c>
      <c r="C42" s="63" t="n"/>
      <c r="D42" s="61" t="n"/>
      <c r="E42" s="60" t="n"/>
      <c r="F42" s="61" t="n"/>
    </row>
    <row r="43">
      <c r="A43" s="60" t="n"/>
      <c r="B43" s="65">
        <f>IF(A43="","",IFERROR(INDEX(Bestand!$B$14:$B$213,MATCH(A43,Bestand!$A$14:$A$213,0)),"ID unbekannt"))</f>
        <v/>
      </c>
      <c r="C43" s="63" t="n"/>
      <c r="D43" s="61" t="n"/>
      <c r="E43" s="60" t="n"/>
      <c r="F43" s="61" t="n"/>
    </row>
    <row r="44">
      <c r="A44" s="60" t="n"/>
      <c r="B44" s="65">
        <f>IF(A44="","",IFERROR(INDEX(Bestand!$B$14:$B$213,MATCH(A44,Bestand!$A$14:$A$213,0)),"ID unbekannt"))</f>
        <v/>
      </c>
      <c r="C44" s="63" t="n"/>
      <c r="D44" s="61" t="n"/>
      <c r="E44" s="60" t="n"/>
      <c r="F44" s="61" t="n"/>
    </row>
    <row r="45">
      <c r="A45" s="60" t="n"/>
      <c r="B45" s="65">
        <f>IF(A45="","",IFERROR(INDEX(Bestand!$B$14:$B$213,MATCH(A45,Bestand!$A$14:$A$213,0)),"ID unbekannt"))</f>
        <v/>
      </c>
      <c r="C45" s="63" t="n"/>
      <c r="D45" s="61" t="n"/>
      <c r="E45" s="60" t="n"/>
      <c r="F45" s="61" t="n"/>
    </row>
    <row r="46">
      <c r="A46" s="60" t="n"/>
      <c r="B46" s="65">
        <f>IF(A46="","",IFERROR(INDEX(Bestand!$B$14:$B$213,MATCH(A46,Bestand!$A$14:$A$213,0)),"ID unbekannt"))</f>
        <v/>
      </c>
      <c r="C46" s="63" t="n"/>
      <c r="D46" s="61" t="n"/>
      <c r="E46" s="60" t="n"/>
      <c r="F46" s="61" t="n"/>
    </row>
    <row r="47">
      <c r="A47" s="60" t="n"/>
      <c r="B47" s="65">
        <f>IF(A47="","",IFERROR(INDEX(Bestand!$B$14:$B$213,MATCH(A47,Bestand!$A$14:$A$213,0)),"ID unbekannt"))</f>
        <v/>
      </c>
      <c r="C47" s="63" t="n"/>
      <c r="D47" s="61" t="n"/>
      <c r="E47" s="60" t="n"/>
      <c r="F47" s="61" t="n"/>
    </row>
    <row r="48">
      <c r="A48" s="60" t="n"/>
      <c r="B48" s="65">
        <f>IF(A48="","",IFERROR(INDEX(Bestand!$B$14:$B$213,MATCH(A48,Bestand!$A$14:$A$213,0)),"ID unbekannt"))</f>
        <v/>
      </c>
      <c r="C48" s="63" t="n"/>
      <c r="D48" s="61" t="n"/>
      <c r="E48" s="60" t="n"/>
      <c r="F48" s="61" t="n"/>
    </row>
    <row r="49">
      <c r="A49" s="60" t="n"/>
      <c r="B49" s="65">
        <f>IF(A49="","",IFERROR(INDEX(Bestand!$B$14:$B$213,MATCH(A49,Bestand!$A$14:$A$213,0)),"ID unbekannt"))</f>
        <v/>
      </c>
      <c r="C49" s="63" t="n"/>
      <c r="D49" s="61" t="n"/>
      <c r="E49" s="60" t="n"/>
      <c r="F49" s="61" t="n"/>
    </row>
    <row r="50">
      <c r="A50" s="60" t="n"/>
      <c r="B50" s="65">
        <f>IF(A50="","",IFERROR(INDEX(Bestand!$B$14:$B$213,MATCH(A50,Bestand!$A$14:$A$213,0)),"ID unbekannt"))</f>
        <v/>
      </c>
      <c r="C50" s="63" t="n"/>
      <c r="D50" s="61" t="n"/>
      <c r="E50" s="60" t="n"/>
      <c r="F50" s="61" t="n"/>
    </row>
    <row r="51">
      <c r="A51" s="60" t="n"/>
      <c r="B51" s="65">
        <f>IF(A51="","",IFERROR(INDEX(Bestand!$B$14:$B$213,MATCH(A51,Bestand!$A$14:$A$213,0)),"ID unbekannt"))</f>
        <v/>
      </c>
      <c r="C51" s="63" t="n"/>
      <c r="D51" s="61" t="n"/>
      <c r="E51" s="60" t="n"/>
      <c r="F51" s="61" t="n"/>
    </row>
    <row r="52">
      <c r="A52" s="60" t="n"/>
      <c r="B52" s="65">
        <f>IF(A52="","",IFERROR(INDEX(Bestand!$B$14:$B$213,MATCH(A52,Bestand!$A$14:$A$213,0)),"ID unbekannt"))</f>
        <v/>
      </c>
      <c r="C52" s="63" t="n"/>
      <c r="D52" s="61" t="n"/>
      <c r="E52" s="60" t="n"/>
      <c r="F52" s="61" t="n"/>
    </row>
    <row r="53">
      <c r="A53" s="60" t="n"/>
      <c r="B53" s="65">
        <f>IF(A53="","",IFERROR(INDEX(Bestand!$B$14:$B$213,MATCH(A53,Bestand!$A$14:$A$213,0)),"ID unbekannt"))</f>
        <v/>
      </c>
      <c r="C53" s="63" t="n"/>
      <c r="D53" s="61" t="n"/>
      <c r="E53" s="60" t="n"/>
      <c r="F53" s="61" t="n"/>
    </row>
    <row r="54">
      <c r="A54" s="60" t="n"/>
      <c r="B54" s="65">
        <f>IF(A54="","",IFERROR(INDEX(Bestand!$B$14:$B$213,MATCH(A54,Bestand!$A$14:$A$213,0)),"ID unbekannt"))</f>
        <v/>
      </c>
      <c r="C54" s="63" t="n"/>
      <c r="D54" s="61" t="n"/>
      <c r="E54" s="60" t="n"/>
      <c r="F54" s="61" t="n"/>
    </row>
    <row r="55">
      <c r="A55" s="60" t="n"/>
      <c r="B55" s="65">
        <f>IF(A55="","",IFERROR(INDEX(Bestand!$B$14:$B$213,MATCH(A55,Bestand!$A$14:$A$213,0)),"ID unbekannt"))</f>
        <v/>
      </c>
      <c r="C55" s="63" t="n"/>
      <c r="D55" s="61" t="n"/>
      <c r="E55" s="60" t="n"/>
      <c r="F55" s="61" t="n"/>
    </row>
    <row r="56">
      <c r="A56" s="60" t="n"/>
      <c r="B56" s="65">
        <f>IF(A56="","",IFERROR(INDEX(Bestand!$B$14:$B$213,MATCH(A56,Bestand!$A$14:$A$213,0)),"ID unbekannt"))</f>
        <v/>
      </c>
      <c r="C56" s="63" t="n"/>
      <c r="D56" s="61" t="n"/>
      <c r="E56" s="60" t="n"/>
      <c r="F56" s="61" t="n"/>
    </row>
    <row r="57">
      <c r="A57" s="60" t="n"/>
      <c r="B57" s="65">
        <f>IF(A57="","",IFERROR(INDEX(Bestand!$B$14:$B$213,MATCH(A57,Bestand!$A$14:$A$213,0)),"ID unbekannt"))</f>
        <v/>
      </c>
      <c r="C57" s="63" t="n"/>
      <c r="D57" s="61" t="n"/>
      <c r="E57" s="60" t="n"/>
      <c r="F57" s="61" t="n"/>
    </row>
    <row r="58">
      <c r="A58" s="60" t="n"/>
      <c r="B58" s="65">
        <f>IF(A58="","",IFERROR(INDEX(Bestand!$B$14:$B$213,MATCH(A58,Bestand!$A$14:$A$213,0)),"ID unbekannt"))</f>
        <v/>
      </c>
      <c r="C58" s="63" t="n"/>
      <c r="D58" s="61" t="n"/>
      <c r="E58" s="60" t="n"/>
      <c r="F58" s="61" t="n"/>
    </row>
    <row r="59">
      <c r="A59" s="60" t="n"/>
      <c r="B59" s="65">
        <f>IF(A59="","",IFERROR(INDEX(Bestand!$B$14:$B$213,MATCH(A59,Bestand!$A$14:$A$213,0)),"ID unbekannt"))</f>
        <v/>
      </c>
      <c r="C59" s="63" t="n"/>
      <c r="D59" s="61" t="n"/>
      <c r="E59" s="60" t="n"/>
      <c r="F59" s="61" t="n"/>
    </row>
    <row r="60">
      <c r="A60" s="60" t="n"/>
      <c r="B60" s="65">
        <f>IF(A60="","",IFERROR(INDEX(Bestand!$B$14:$B$213,MATCH(A60,Bestand!$A$14:$A$213,0)),"ID unbekannt"))</f>
        <v/>
      </c>
      <c r="C60" s="63" t="n"/>
      <c r="D60" s="61" t="n"/>
      <c r="E60" s="60" t="n"/>
      <c r="F60" s="61" t="n"/>
    </row>
    <row r="61">
      <c r="A61" s="60" t="n"/>
      <c r="B61" s="65">
        <f>IF(A61="","",IFERROR(INDEX(Bestand!$B$14:$B$213,MATCH(A61,Bestand!$A$14:$A$213,0)),"ID unbekannt"))</f>
        <v/>
      </c>
      <c r="C61" s="63" t="n"/>
      <c r="D61" s="61" t="n"/>
      <c r="E61" s="60" t="n"/>
      <c r="F61" s="61" t="n"/>
    </row>
    <row r="62">
      <c r="A62" s="60" t="n"/>
      <c r="B62" s="65">
        <f>IF(A62="","",IFERROR(INDEX(Bestand!$B$14:$B$213,MATCH(A62,Bestand!$A$14:$A$213,0)),"ID unbekannt"))</f>
        <v/>
      </c>
      <c r="C62" s="63" t="n"/>
      <c r="D62" s="61" t="n"/>
      <c r="E62" s="60" t="n"/>
      <c r="F62" s="61" t="n"/>
    </row>
    <row r="63">
      <c r="A63" s="60" t="n"/>
      <c r="B63" s="65">
        <f>IF(A63="","",IFERROR(INDEX(Bestand!$B$14:$B$213,MATCH(A63,Bestand!$A$14:$A$213,0)),"ID unbekannt"))</f>
        <v/>
      </c>
      <c r="C63" s="63" t="n"/>
      <c r="D63" s="61" t="n"/>
      <c r="E63" s="60" t="n"/>
      <c r="F63" s="61" t="n"/>
    </row>
    <row r="64">
      <c r="A64" s="60" t="n"/>
      <c r="B64" s="65">
        <f>IF(A64="","",IFERROR(INDEX(Bestand!$B$14:$B$213,MATCH(A64,Bestand!$A$14:$A$213,0)),"ID unbekannt"))</f>
        <v/>
      </c>
      <c r="C64" s="63" t="n"/>
      <c r="D64" s="61" t="n"/>
      <c r="E64" s="60" t="n"/>
      <c r="F64" s="61" t="n"/>
    </row>
    <row r="65">
      <c r="A65" s="60" t="n"/>
      <c r="B65" s="65">
        <f>IF(A65="","",IFERROR(INDEX(Bestand!$B$14:$B$213,MATCH(A65,Bestand!$A$14:$A$213,0)),"ID unbekannt"))</f>
        <v/>
      </c>
      <c r="C65" s="63" t="n"/>
      <c r="D65" s="61" t="n"/>
      <c r="E65" s="60" t="n"/>
      <c r="F65" s="61" t="n"/>
    </row>
    <row r="66">
      <c r="A66" s="60" t="n"/>
      <c r="B66" s="65">
        <f>IF(A66="","",IFERROR(INDEX(Bestand!$B$14:$B$213,MATCH(A66,Bestand!$A$14:$A$213,0)),"ID unbekannt"))</f>
        <v/>
      </c>
      <c r="C66" s="63" t="n"/>
      <c r="D66" s="61" t="n"/>
      <c r="E66" s="60" t="n"/>
      <c r="F66" s="61" t="n"/>
    </row>
    <row r="67">
      <c r="A67" s="60" t="n"/>
      <c r="B67" s="65">
        <f>IF(A67="","",IFERROR(INDEX(Bestand!$B$14:$B$213,MATCH(A67,Bestand!$A$14:$A$213,0)),"ID unbekannt"))</f>
        <v/>
      </c>
      <c r="C67" s="63" t="n"/>
      <c r="D67" s="61" t="n"/>
      <c r="E67" s="60" t="n"/>
      <c r="F67" s="61" t="n"/>
    </row>
    <row r="68">
      <c r="A68" s="60" t="n"/>
      <c r="B68" s="65">
        <f>IF(A68="","",IFERROR(INDEX(Bestand!$B$14:$B$213,MATCH(A68,Bestand!$A$14:$A$213,0)),"ID unbekannt"))</f>
        <v/>
      </c>
      <c r="C68" s="63" t="n"/>
      <c r="D68" s="61" t="n"/>
      <c r="E68" s="60" t="n"/>
      <c r="F68" s="61" t="n"/>
    </row>
    <row r="69">
      <c r="A69" s="60" t="n"/>
      <c r="B69" s="65">
        <f>IF(A69="","",IFERROR(INDEX(Bestand!$B$14:$B$213,MATCH(A69,Bestand!$A$14:$A$213,0)),"ID unbekannt"))</f>
        <v/>
      </c>
      <c r="C69" s="63" t="n"/>
      <c r="D69" s="61" t="n"/>
      <c r="E69" s="60" t="n"/>
      <c r="F69" s="61" t="n"/>
    </row>
    <row r="70">
      <c r="A70" s="60" t="n"/>
      <c r="B70" s="65">
        <f>IF(A70="","",IFERROR(INDEX(Bestand!$B$14:$B$213,MATCH(A70,Bestand!$A$14:$A$213,0)),"ID unbekannt"))</f>
        <v/>
      </c>
      <c r="C70" s="63" t="n"/>
      <c r="D70" s="61" t="n"/>
      <c r="E70" s="60" t="n"/>
      <c r="F70" s="61" t="n"/>
    </row>
    <row r="71">
      <c r="A71" s="60" t="n"/>
      <c r="B71" s="65">
        <f>IF(A71="","",IFERROR(INDEX(Bestand!$B$14:$B$213,MATCH(A71,Bestand!$A$14:$A$213,0)),"ID unbekannt"))</f>
        <v/>
      </c>
      <c r="C71" s="63" t="n"/>
      <c r="D71" s="61" t="n"/>
      <c r="E71" s="60" t="n"/>
      <c r="F71" s="61" t="n"/>
    </row>
    <row r="72">
      <c r="A72" s="60" t="n"/>
      <c r="B72" s="65">
        <f>IF(A72="","",IFERROR(INDEX(Bestand!$B$14:$B$213,MATCH(A72,Bestand!$A$14:$A$213,0)),"ID unbekannt"))</f>
        <v/>
      </c>
      <c r="C72" s="63" t="n"/>
      <c r="D72" s="61" t="n"/>
      <c r="E72" s="60" t="n"/>
      <c r="F72" s="61" t="n"/>
    </row>
    <row r="73">
      <c r="A73" s="60" t="n"/>
      <c r="B73" s="65">
        <f>IF(A73="","",IFERROR(INDEX(Bestand!$B$14:$B$213,MATCH(A73,Bestand!$A$14:$A$213,0)),"ID unbekannt"))</f>
        <v/>
      </c>
      <c r="C73" s="63" t="n"/>
      <c r="D73" s="61" t="n"/>
      <c r="E73" s="60" t="n"/>
      <c r="F73" s="61" t="n"/>
    </row>
    <row r="74">
      <c r="A74" s="60" t="n"/>
      <c r="B74" s="65">
        <f>IF(A74="","",IFERROR(INDEX(Bestand!$B$14:$B$213,MATCH(A74,Bestand!$A$14:$A$213,0)),"ID unbekannt"))</f>
        <v/>
      </c>
      <c r="C74" s="63" t="n"/>
      <c r="D74" s="61" t="n"/>
      <c r="E74" s="60" t="n"/>
      <c r="F74" s="61" t="n"/>
    </row>
    <row r="75">
      <c r="A75" s="60" t="n"/>
      <c r="B75" s="65">
        <f>IF(A75="","",IFERROR(INDEX(Bestand!$B$14:$B$213,MATCH(A75,Bestand!$A$14:$A$213,0)),"ID unbekannt"))</f>
        <v/>
      </c>
      <c r="C75" s="63" t="n"/>
      <c r="D75" s="61" t="n"/>
      <c r="E75" s="60" t="n"/>
      <c r="F75" s="61" t="n"/>
    </row>
    <row r="76">
      <c r="A76" s="60" t="n"/>
      <c r="B76" s="65">
        <f>IF(A76="","",IFERROR(INDEX(Bestand!$B$14:$B$213,MATCH(A76,Bestand!$A$14:$A$213,0)),"ID unbekannt"))</f>
        <v/>
      </c>
      <c r="C76" s="63" t="n"/>
      <c r="D76" s="61" t="n"/>
      <c r="E76" s="60" t="n"/>
      <c r="F76" s="61" t="n"/>
    </row>
    <row r="77">
      <c r="A77" s="60" t="n"/>
      <c r="B77" s="65">
        <f>IF(A77="","",IFERROR(INDEX(Bestand!$B$14:$B$213,MATCH(A77,Bestand!$A$14:$A$213,0)),"ID unbekannt"))</f>
        <v/>
      </c>
      <c r="C77" s="63" t="n"/>
      <c r="D77" s="61" t="n"/>
      <c r="E77" s="60" t="n"/>
      <c r="F77" s="61" t="n"/>
    </row>
    <row r="78">
      <c r="A78" s="60" t="n"/>
      <c r="B78" s="65">
        <f>IF(A78="","",IFERROR(INDEX(Bestand!$B$14:$B$213,MATCH(A78,Bestand!$A$14:$A$213,0)),"ID unbekannt"))</f>
        <v/>
      </c>
      <c r="C78" s="63" t="n"/>
      <c r="D78" s="61" t="n"/>
      <c r="E78" s="60" t="n"/>
      <c r="F78" s="61" t="n"/>
    </row>
    <row r="79">
      <c r="A79" s="60" t="n"/>
      <c r="B79" s="65">
        <f>IF(A79="","",IFERROR(INDEX(Bestand!$B$14:$B$213,MATCH(A79,Bestand!$A$14:$A$213,0)),"ID unbekannt"))</f>
        <v/>
      </c>
      <c r="C79" s="63" t="n"/>
      <c r="D79" s="61" t="n"/>
      <c r="E79" s="60" t="n"/>
      <c r="F79" s="61" t="n"/>
    </row>
    <row r="80">
      <c r="A80" s="60" t="n"/>
      <c r="B80" s="65">
        <f>IF(A80="","",IFERROR(INDEX(Bestand!$B$14:$B$213,MATCH(A80,Bestand!$A$14:$A$213,0)),"ID unbekannt"))</f>
        <v/>
      </c>
      <c r="C80" s="63" t="n"/>
      <c r="D80" s="61" t="n"/>
      <c r="E80" s="60" t="n"/>
      <c r="F80" s="61" t="n"/>
    </row>
    <row r="81">
      <c r="A81" s="60" t="n"/>
      <c r="B81" s="65">
        <f>IF(A81="","",IFERROR(INDEX(Bestand!$B$14:$B$213,MATCH(A81,Bestand!$A$14:$A$213,0)),"ID unbekannt"))</f>
        <v/>
      </c>
      <c r="C81" s="63" t="n"/>
      <c r="D81" s="61" t="n"/>
      <c r="E81" s="60" t="n"/>
      <c r="F81" s="61" t="n"/>
    </row>
    <row r="82">
      <c r="A82" s="60" t="n"/>
      <c r="B82" s="65">
        <f>IF(A82="","",IFERROR(INDEX(Bestand!$B$14:$B$213,MATCH(A82,Bestand!$A$14:$A$213,0)),"ID unbekannt"))</f>
        <v/>
      </c>
      <c r="C82" s="63" t="n"/>
      <c r="D82" s="61" t="n"/>
      <c r="E82" s="60" t="n"/>
      <c r="F82" s="61" t="n"/>
    </row>
    <row r="83">
      <c r="A83" s="60" t="n"/>
      <c r="B83" s="65">
        <f>IF(A83="","",IFERROR(INDEX(Bestand!$B$14:$B$213,MATCH(A83,Bestand!$A$14:$A$213,0)),"ID unbekannt"))</f>
        <v/>
      </c>
      <c r="C83" s="63" t="n"/>
      <c r="D83" s="61" t="n"/>
      <c r="E83" s="60" t="n"/>
      <c r="F83" s="61" t="n"/>
    </row>
    <row r="84">
      <c r="A84" s="60" t="n"/>
      <c r="B84" s="65">
        <f>IF(A84="","",IFERROR(INDEX(Bestand!$B$14:$B$213,MATCH(A84,Bestand!$A$14:$A$213,0)),"ID unbekannt"))</f>
        <v/>
      </c>
      <c r="C84" s="63" t="n"/>
      <c r="D84" s="61" t="n"/>
      <c r="E84" s="60" t="n"/>
      <c r="F84" s="61" t="n"/>
    </row>
    <row r="85">
      <c r="A85" s="60" t="n"/>
      <c r="B85" s="65">
        <f>IF(A85="","",IFERROR(INDEX(Bestand!$B$14:$B$213,MATCH(A85,Bestand!$A$14:$A$213,0)),"ID unbekannt"))</f>
        <v/>
      </c>
      <c r="C85" s="63" t="n"/>
      <c r="D85" s="61" t="n"/>
      <c r="E85" s="60" t="n"/>
      <c r="F85" s="61" t="n"/>
    </row>
    <row r="86">
      <c r="A86" s="60" t="n"/>
      <c r="B86" s="65">
        <f>IF(A86="","",IFERROR(INDEX(Bestand!$B$14:$B$213,MATCH(A86,Bestand!$A$14:$A$213,0)),"ID unbekannt"))</f>
        <v/>
      </c>
      <c r="C86" s="63" t="n"/>
      <c r="D86" s="61" t="n"/>
      <c r="E86" s="60" t="n"/>
      <c r="F86" s="61" t="n"/>
    </row>
    <row r="87">
      <c r="A87" s="60" t="n"/>
      <c r="B87" s="65">
        <f>IF(A87="","",IFERROR(INDEX(Bestand!$B$14:$B$213,MATCH(A87,Bestand!$A$14:$A$213,0)),"ID unbekannt"))</f>
        <v/>
      </c>
      <c r="C87" s="63" t="n"/>
      <c r="D87" s="61" t="n"/>
      <c r="E87" s="60" t="n"/>
      <c r="F87" s="61" t="n"/>
    </row>
    <row r="88">
      <c r="A88" s="60" t="n"/>
      <c r="B88" s="65">
        <f>IF(A88="","",IFERROR(INDEX(Bestand!$B$14:$B$213,MATCH(A88,Bestand!$A$14:$A$213,0)),"ID unbekannt"))</f>
        <v/>
      </c>
      <c r="C88" s="63" t="n"/>
      <c r="D88" s="61" t="n"/>
      <c r="E88" s="60" t="n"/>
      <c r="F88" s="61" t="n"/>
    </row>
    <row r="89">
      <c r="A89" s="60" t="n"/>
      <c r="B89" s="65">
        <f>IF(A89="","",IFERROR(INDEX(Bestand!$B$14:$B$213,MATCH(A89,Bestand!$A$14:$A$213,0)),"ID unbekannt"))</f>
        <v/>
      </c>
      <c r="C89" s="63" t="n"/>
      <c r="D89" s="61" t="n"/>
      <c r="E89" s="60" t="n"/>
      <c r="F89" s="61" t="n"/>
    </row>
    <row r="90">
      <c r="A90" s="60" t="n"/>
      <c r="B90" s="65">
        <f>IF(A90="","",IFERROR(INDEX(Bestand!$B$14:$B$213,MATCH(A90,Bestand!$A$14:$A$213,0)),"ID unbekannt"))</f>
        <v/>
      </c>
      <c r="C90" s="63" t="n"/>
      <c r="D90" s="61" t="n"/>
      <c r="E90" s="60" t="n"/>
      <c r="F90" s="61" t="n"/>
    </row>
    <row r="91">
      <c r="A91" s="60" t="n"/>
      <c r="B91" s="65">
        <f>IF(A91="","",IFERROR(INDEX(Bestand!$B$14:$B$213,MATCH(A91,Bestand!$A$14:$A$213,0)),"ID unbekannt"))</f>
        <v/>
      </c>
      <c r="C91" s="63" t="n"/>
      <c r="D91" s="61" t="n"/>
      <c r="E91" s="60" t="n"/>
      <c r="F91" s="61" t="n"/>
    </row>
    <row r="92">
      <c r="A92" s="60" t="n"/>
      <c r="B92" s="65">
        <f>IF(A92="","",IFERROR(INDEX(Bestand!$B$14:$B$213,MATCH(A92,Bestand!$A$14:$A$213,0)),"ID unbekannt"))</f>
        <v/>
      </c>
      <c r="C92" s="63" t="n"/>
      <c r="D92" s="61" t="n"/>
      <c r="E92" s="60" t="n"/>
      <c r="F92" s="61" t="n"/>
    </row>
    <row r="93">
      <c r="A93" s="60" t="n"/>
      <c r="B93" s="65">
        <f>IF(A93="","",IFERROR(INDEX(Bestand!$B$14:$B$213,MATCH(A93,Bestand!$A$14:$A$213,0)),"ID unbekannt"))</f>
        <v/>
      </c>
      <c r="C93" s="63" t="n"/>
      <c r="D93" s="61" t="n"/>
      <c r="E93" s="60" t="n"/>
      <c r="F93" s="61" t="n"/>
    </row>
    <row r="94">
      <c r="A94" s="60" t="n"/>
      <c r="B94" s="65">
        <f>IF(A94="","",IFERROR(INDEX(Bestand!$B$14:$B$213,MATCH(A94,Bestand!$A$14:$A$213,0)),"ID unbekannt"))</f>
        <v/>
      </c>
      <c r="C94" s="63" t="n"/>
      <c r="D94" s="61" t="n"/>
      <c r="E94" s="60" t="n"/>
      <c r="F94" s="61" t="n"/>
    </row>
    <row r="95">
      <c r="A95" s="60" t="n"/>
      <c r="B95" s="65">
        <f>IF(A95="","",IFERROR(INDEX(Bestand!$B$14:$B$213,MATCH(A95,Bestand!$A$14:$A$213,0)),"ID unbekannt"))</f>
        <v/>
      </c>
      <c r="C95" s="63" t="n"/>
      <c r="D95" s="61" t="n"/>
      <c r="E95" s="60" t="n"/>
      <c r="F95" s="61" t="n"/>
    </row>
    <row r="96">
      <c r="A96" s="60" t="n"/>
      <c r="B96" s="65">
        <f>IF(A96="","",IFERROR(INDEX(Bestand!$B$14:$B$213,MATCH(A96,Bestand!$A$14:$A$213,0)),"ID unbekannt"))</f>
        <v/>
      </c>
      <c r="C96" s="63" t="n"/>
      <c r="D96" s="61" t="n"/>
      <c r="E96" s="60" t="n"/>
      <c r="F96" s="61" t="n"/>
    </row>
    <row r="97">
      <c r="A97" s="60" t="n"/>
      <c r="B97" s="65">
        <f>IF(A97="","",IFERROR(INDEX(Bestand!$B$14:$B$213,MATCH(A97,Bestand!$A$14:$A$213,0)),"ID unbekannt"))</f>
        <v/>
      </c>
      <c r="C97" s="63" t="n"/>
      <c r="D97" s="61" t="n"/>
      <c r="E97" s="60" t="n"/>
      <c r="F97" s="61" t="n"/>
    </row>
    <row r="98">
      <c r="A98" s="60" t="n"/>
      <c r="B98" s="65">
        <f>IF(A98="","",IFERROR(INDEX(Bestand!$B$14:$B$213,MATCH(A98,Bestand!$A$14:$A$213,0)),"ID unbekannt"))</f>
        <v/>
      </c>
      <c r="C98" s="63" t="n"/>
      <c r="D98" s="61" t="n"/>
      <c r="E98" s="60" t="n"/>
      <c r="F98" s="61" t="n"/>
    </row>
    <row r="99">
      <c r="A99" s="60" t="n"/>
      <c r="B99" s="65">
        <f>IF(A99="","",IFERROR(INDEX(Bestand!$B$14:$B$213,MATCH(A99,Bestand!$A$14:$A$213,0)),"ID unbekannt"))</f>
        <v/>
      </c>
      <c r="C99" s="63" t="n"/>
      <c r="D99" s="61" t="n"/>
      <c r="E99" s="60" t="n"/>
      <c r="F99" s="61" t="n"/>
    </row>
    <row r="100">
      <c r="A100" s="60" t="n"/>
      <c r="B100" s="65">
        <f>IF(A100="","",IFERROR(INDEX(Bestand!$B$14:$B$213,MATCH(A100,Bestand!$A$14:$A$213,0)),"ID unbekannt"))</f>
        <v/>
      </c>
      <c r="C100" s="63" t="n"/>
      <c r="D100" s="61" t="n"/>
      <c r="E100" s="60" t="n"/>
      <c r="F100" s="61" t="n"/>
    </row>
    <row r="101">
      <c r="A101" s="60" t="n"/>
      <c r="B101" s="65">
        <f>IF(A101="","",IFERROR(INDEX(Bestand!$B$14:$B$213,MATCH(A101,Bestand!$A$14:$A$213,0)),"ID unbekannt"))</f>
        <v/>
      </c>
      <c r="C101" s="63" t="n"/>
      <c r="D101" s="61" t="n"/>
      <c r="E101" s="60" t="n"/>
      <c r="F101" s="61" t="n"/>
    </row>
    <row r="102">
      <c r="A102" s="60" t="n"/>
      <c r="B102" s="65">
        <f>IF(A102="","",IFERROR(INDEX(Bestand!$B$14:$B$213,MATCH(A102,Bestand!$A$14:$A$213,0)),"ID unbekannt"))</f>
        <v/>
      </c>
      <c r="C102" s="63" t="n"/>
      <c r="D102" s="61" t="n"/>
      <c r="E102" s="60" t="n"/>
      <c r="F102" s="61" t="n"/>
    </row>
    <row r="103">
      <c r="A103" s="60" t="n"/>
      <c r="B103" s="65">
        <f>IF(A103="","",IFERROR(INDEX(Bestand!$B$14:$B$213,MATCH(A103,Bestand!$A$14:$A$213,0)),"ID unbekannt"))</f>
        <v/>
      </c>
      <c r="C103" s="63" t="n"/>
      <c r="D103" s="61" t="n"/>
      <c r="E103" s="60" t="n"/>
      <c r="F103" s="61" t="n"/>
    </row>
    <row r="104">
      <c r="A104" s="60" t="n"/>
      <c r="B104" s="65">
        <f>IF(A104="","",IFERROR(INDEX(Bestand!$B$14:$B$213,MATCH(A104,Bestand!$A$14:$A$213,0)),"ID unbekannt"))</f>
        <v/>
      </c>
      <c r="C104" s="63" t="n"/>
      <c r="D104" s="61" t="n"/>
      <c r="E104" s="60" t="n"/>
      <c r="F104" s="61" t="n"/>
    </row>
    <row r="105">
      <c r="A105" s="60" t="n"/>
      <c r="B105" s="65">
        <f>IF(A105="","",IFERROR(INDEX(Bestand!$B$14:$B$213,MATCH(A105,Bestand!$A$14:$A$213,0)),"ID unbekannt"))</f>
        <v/>
      </c>
      <c r="C105" s="63" t="n"/>
      <c r="D105" s="61" t="n"/>
      <c r="E105" s="60" t="n"/>
      <c r="F105" s="61" t="n"/>
    </row>
    <row r="106">
      <c r="A106" s="60" t="n"/>
      <c r="B106" s="65">
        <f>IF(A106="","",IFERROR(INDEX(Bestand!$B$14:$B$213,MATCH(A106,Bestand!$A$14:$A$213,0)),"ID unbekannt"))</f>
        <v/>
      </c>
      <c r="C106" s="63" t="n"/>
      <c r="D106" s="61" t="n"/>
      <c r="E106" s="60" t="n"/>
      <c r="F106" s="61" t="n"/>
    </row>
    <row r="107">
      <c r="A107" s="60" t="n"/>
      <c r="B107" s="65">
        <f>IF(A107="","",IFERROR(INDEX(Bestand!$B$14:$B$213,MATCH(A107,Bestand!$A$14:$A$213,0)),"ID unbekannt"))</f>
        <v/>
      </c>
      <c r="C107" s="63" t="n"/>
      <c r="D107" s="61" t="n"/>
      <c r="E107" s="60" t="n"/>
      <c r="F107" s="61" t="n"/>
    </row>
    <row r="108">
      <c r="A108" s="60" t="n"/>
      <c r="B108" s="65">
        <f>IF(A108="","",IFERROR(INDEX(Bestand!$B$14:$B$213,MATCH(A108,Bestand!$A$14:$A$213,0)),"ID unbekannt"))</f>
        <v/>
      </c>
      <c r="C108" s="63" t="n"/>
      <c r="D108" s="61" t="n"/>
      <c r="E108" s="60" t="n"/>
      <c r="F108" s="61" t="n"/>
    </row>
    <row r="109">
      <c r="A109" s="60" t="n"/>
      <c r="B109" s="65">
        <f>IF(A109="","",IFERROR(INDEX(Bestand!$B$14:$B$213,MATCH(A109,Bestand!$A$14:$A$213,0)),"ID unbekannt"))</f>
        <v/>
      </c>
      <c r="C109" s="63" t="n"/>
      <c r="D109" s="61" t="n"/>
      <c r="E109" s="60" t="n"/>
      <c r="F109" s="61" t="n"/>
    </row>
    <row r="110">
      <c r="A110" s="60" t="n"/>
      <c r="B110" s="65">
        <f>IF(A110="","",IFERROR(INDEX(Bestand!$B$14:$B$213,MATCH(A110,Bestand!$A$14:$A$213,0)),"ID unbekannt"))</f>
        <v/>
      </c>
      <c r="C110" s="63" t="n"/>
      <c r="D110" s="61" t="n"/>
      <c r="E110" s="60" t="n"/>
      <c r="F110" s="61" t="n"/>
    </row>
    <row r="111">
      <c r="A111" s="60" t="n"/>
      <c r="B111" s="65">
        <f>IF(A111="","",IFERROR(INDEX(Bestand!$B$14:$B$213,MATCH(A111,Bestand!$A$14:$A$213,0)),"ID unbekannt"))</f>
        <v/>
      </c>
      <c r="C111" s="63" t="n"/>
      <c r="D111" s="61" t="n"/>
      <c r="E111" s="60" t="n"/>
      <c r="F111" s="61" t="n"/>
    </row>
    <row r="112">
      <c r="A112" s="60" t="n"/>
      <c r="B112" s="65">
        <f>IF(A112="","",IFERROR(INDEX(Bestand!$B$14:$B$213,MATCH(A112,Bestand!$A$14:$A$213,0)),"ID unbekannt"))</f>
        <v/>
      </c>
      <c r="C112" s="63" t="n"/>
      <c r="D112" s="61" t="n"/>
      <c r="E112" s="60" t="n"/>
      <c r="F112" s="61" t="n"/>
    </row>
    <row r="113">
      <c r="A113" s="60" t="n"/>
      <c r="B113" s="65">
        <f>IF(A113="","",IFERROR(INDEX(Bestand!$B$14:$B$213,MATCH(A113,Bestand!$A$14:$A$213,0)),"ID unbekannt"))</f>
        <v/>
      </c>
      <c r="C113" s="63" t="n"/>
      <c r="D113" s="61" t="n"/>
      <c r="E113" s="60" t="n"/>
      <c r="F113" s="61" t="n"/>
    </row>
    <row r="114">
      <c r="A114" s="60" t="n"/>
      <c r="B114" s="65">
        <f>IF(A114="","",IFERROR(INDEX(Bestand!$B$14:$B$213,MATCH(A114,Bestand!$A$14:$A$213,0)),"ID unbekannt"))</f>
        <v/>
      </c>
      <c r="C114" s="63" t="n"/>
      <c r="D114" s="61" t="n"/>
      <c r="E114" s="60" t="n"/>
      <c r="F114" s="61" t="n"/>
    </row>
    <row r="115">
      <c r="A115" s="60" t="n"/>
      <c r="B115" s="65">
        <f>IF(A115="","",IFERROR(INDEX(Bestand!$B$14:$B$213,MATCH(A115,Bestand!$A$14:$A$213,0)),"ID unbekannt"))</f>
        <v/>
      </c>
      <c r="C115" s="63" t="n"/>
      <c r="D115" s="61" t="n"/>
      <c r="E115" s="60" t="n"/>
      <c r="F115" s="61" t="n"/>
    </row>
    <row r="116">
      <c r="A116" s="60" t="n"/>
      <c r="B116" s="65">
        <f>IF(A116="","",IFERROR(INDEX(Bestand!$B$14:$B$213,MATCH(A116,Bestand!$A$14:$A$213,0)),"ID unbekannt"))</f>
        <v/>
      </c>
      <c r="C116" s="63" t="n"/>
      <c r="D116" s="61" t="n"/>
      <c r="E116" s="60" t="n"/>
      <c r="F116" s="61" t="n"/>
    </row>
    <row r="117">
      <c r="A117" s="60" t="n"/>
      <c r="B117" s="65">
        <f>IF(A117="","",IFERROR(INDEX(Bestand!$B$14:$B$213,MATCH(A117,Bestand!$A$14:$A$213,0)),"ID unbekannt"))</f>
        <v/>
      </c>
      <c r="C117" s="63" t="n"/>
      <c r="D117" s="61" t="n"/>
      <c r="E117" s="60" t="n"/>
      <c r="F117" s="61" t="n"/>
    </row>
    <row r="118">
      <c r="A118" s="60" t="n"/>
      <c r="B118" s="65">
        <f>IF(A118="","",IFERROR(INDEX(Bestand!$B$14:$B$213,MATCH(A118,Bestand!$A$14:$A$213,0)),"ID unbekannt"))</f>
        <v/>
      </c>
      <c r="C118" s="63" t="n"/>
      <c r="D118" s="61" t="n"/>
      <c r="E118" s="60" t="n"/>
      <c r="F118" s="61" t="n"/>
    </row>
    <row r="119">
      <c r="A119" s="60" t="n"/>
      <c r="B119" s="65">
        <f>IF(A119="","",IFERROR(INDEX(Bestand!$B$14:$B$213,MATCH(A119,Bestand!$A$14:$A$213,0)),"ID unbekannt"))</f>
        <v/>
      </c>
      <c r="C119" s="63" t="n"/>
      <c r="D119" s="61" t="n"/>
      <c r="E119" s="60" t="n"/>
      <c r="F119" s="61" t="n"/>
    </row>
    <row r="120">
      <c r="A120" s="60" t="n"/>
      <c r="B120" s="65">
        <f>IF(A120="","",IFERROR(INDEX(Bestand!$B$14:$B$213,MATCH(A120,Bestand!$A$14:$A$213,0)),"ID unbekannt"))</f>
        <v/>
      </c>
      <c r="C120" s="63" t="n"/>
      <c r="D120" s="61" t="n"/>
      <c r="E120" s="60" t="n"/>
      <c r="F120" s="61" t="n"/>
    </row>
    <row r="121">
      <c r="A121" s="60" t="n"/>
      <c r="B121" s="65">
        <f>IF(A121="","",IFERROR(INDEX(Bestand!$B$14:$B$213,MATCH(A121,Bestand!$A$14:$A$213,0)),"ID unbekannt"))</f>
        <v/>
      </c>
      <c r="C121" s="63" t="n"/>
      <c r="D121" s="61" t="n"/>
      <c r="E121" s="60" t="n"/>
      <c r="F121" s="61" t="n"/>
    </row>
    <row r="122">
      <c r="A122" s="60" t="n"/>
      <c r="B122" s="65">
        <f>IF(A122="","",IFERROR(INDEX(Bestand!$B$14:$B$213,MATCH(A122,Bestand!$A$14:$A$213,0)),"ID unbekannt"))</f>
        <v/>
      </c>
      <c r="C122" s="63" t="n"/>
      <c r="D122" s="61" t="n"/>
      <c r="E122" s="60" t="n"/>
      <c r="F122" s="61" t="n"/>
    </row>
    <row r="123">
      <c r="A123" s="60" t="n"/>
      <c r="B123" s="65">
        <f>IF(A123="","",IFERROR(INDEX(Bestand!$B$14:$B$213,MATCH(A123,Bestand!$A$14:$A$213,0)),"ID unbekannt"))</f>
        <v/>
      </c>
      <c r="C123" s="63" t="n"/>
      <c r="D123" s="61" t="n"/>
      <c r="E123" s="60" t="n"/>
      <c r="F123" s="61" t="n"/>
    </row>
    <row r="124">
      <c r="A124" s="60" t="n"/>
      <c r="B124" s="65">
        <f>IF(A124="","",IFERROR(INDEX(Bestand!$B$14:$B$213,MATCH(A124,Bestand!$A$14:$A$213,0)),"ID unbekannt"))</f>
        <v/>
      </c>
      <c r="C124" s="63" t="n"/>
      <c r="D124" s="61" t="n"/>
      <c r="E124" s="60" t="n"/>
      <c r="F124" s="61" t="n"/>
    </row>
    <row r="125">
      <c r="A125" s="60" t="n"/>
      <c r="B125" s="65">
        <f>IF(A125="","",IFERROR(INDEX(Bestand!$B$14:$B$213,MATCH(A125,Bestand!$A$14:$A$213,0)),"ID unbekannt"))</f>
        <v/>
      </c>
      <c r="C125" s="63" t="n"/>
      <c r="D125" s="61" t="n"/>
      <c r="E125" s="60" t="n"/>
      <c r="F125" s="61" t="n"/>
    </row>
    <row r="126">
      <c r="A126" s="60" t="n"/>
      <c r="B126" s="65">
        <f>IF(A126="","",IFERROR(INDEX(Bestand!$B$14:$B$213,MATCH(A126,Bestand!$A$14:$A$213,0)),"ID unbekannt"))</f>
        <v/>
      </c>
      <c r="C126" s="63" t="n"/>
      <c r="D126" s="61" t="n"/>
      <c r="E126" s="60" t="n"/>
      <c r="F126" s="61" t="n"/>
    </row>
    <row r="127">
      <c r="A127" s="60" t="n"/>
      <c r="B127" s="65">
        <f>IF(A127="","",IFERROR(INDEX(Bestand!$B$14:$B$213,MATCH(A127,Bestand!$A$14:$A$213,0)),"ID unbekannt"))</f>
        <v/>
      </c>
      <c r="C127" s="63" t="n"/>
      <c r="D127" s="61" t="n"/>
      <c r="E127" s="60" t="n"/>
      <c r="F127" s="61" t="n"/>
    </row>
    <row r="128">
      <c r="A128" s="60" t="n"/>
      <c r="B128" s="65">
        <f>IF(A128="","",IFERROR(INDEX(Bestand!$B$14:$B$213,MATCH(A128,Bestand!$A$14:$A$213,0)),"ID unbekannt"))</f>
        <v/>
      </c>
      <c r="C128" s="63" t="n"/>
      <c r="D128" s="61" t="n"/>
      <c r="E128" s="60" t="n"/>
      <c r="F128" s="61" t="n"/>
    </row>
    <row r="129">
      <c r="A129" s="60" t="n"/>
      <c r="B129" s="65">
        <f>IF(A129="","",IFERROR(INDEX(Bestand!$B$14:$B$213,MATCH(A129,Bestand!$A$14:$A$213,0)),"ID unbekannt"))</f>
        <v/>
      </c>
      <c r="C129" s="63" t="n"/>
      <c r="D129" s="61" t="n"/>
      <c r="E129" s="60" t="n"/>
      <c r="F129" s="61" t="n"/>
    </row>
    <row r="130">
      <c r="A130" s="60" t="n"/>
      <c r="B130" s="65">
        <f>IF(A130="","",IFERROR(INDEX(Bestand!$B$14:$B$213,MATCH(A130,Bestand!$A$14:$A$213,0)),"ID unbekannt"))</f>
        <v/>
      </c>
      <c r="C130" s="63" t="n"/>
      <c r="D130" s="61" t="n"/>
      <c r="E130" s="60" t="n"/>
      <c r="F130" s="61" t="n"/>
    </row>
    <row r="131">
      <c r="A131" s="60" t="n"/>
      <c r="B131" s="65">
        <f>IF(A131="","",IFERROR(INDEX(Bestand!$B$14:$B$213,MATCH(A131,Bestand!$A$14:$A$213,0)),"ID unbekannt"))</f>
        <v/>
      </c>
      <c r="C131" s="63" t="n"/>
      <c r="D131" s="61" t="n"/>
      <c r="E131" s="60" t="n"/>
      <c r="F131" s="61" t="n"/>
    </row>
    <row r="132">
      <c r="A132" s="60" t="n"/>
      <c r="B132" s="65">
        <f>IF(A132="","",IFERROR(INDEX(Bestand!$B$14:$B$213,MATCH(A132,Bestand!$A$14:$A$213,0)),"ID unbekannt"))</f>
        <v/>
      </c>
      <c r="C132" s="63" t="n"/>
      <c r="D132" s="61" t="n"/>
      <c r="E132" s="60" t="n"/>
      <c r="F132" s="61" t="n"/>
    </row>
    <row r="133">
      <c r="A133" s="60" t="n"/>
      <c r="B133" s="65">
        <f>IF(A133="","",IFERROR(INDEX(Bestand!$B$14:$B$213,MATCH(A133,Bestand!$A$14:$A$213,0)),"ID unbekannt"))</f>
        <v/>
      </c>
      <c r="C133" s="63" t="n"/>
      <c r="D133" s="61" t="n"/>
      <c r="E133" s="60" t="n"/>
      <c r="F133" s="61" t="n"/>
    </row>
    <row r="134">
      <c r="A134" s="60" t="n"/>
      <c r="B134" s="65">
        <f>IF(A134="","",IFERROR(INDEX(Bestand!$B$14:$B$213,MATCH(A134,Bestand!$A$14:$A$213,0)),"ID unbekannt"))</f>
        <v/>
      </c>
      <c r="C134" s="63" t="n"/>
      <c r="D134" s="61" t="n"/>
      <c r="E134" s="60" t="n"/>
      <c r="F134" s="61" t="n"/>
    </row>
    <row r="135">
      <c r="A135" s="60" t="n"/>
      <c r="B135" s="65">
        <f>IF(A135="","",IFERROR(INDEX(Bestand!$B$14:$B$213,MATCH(A135,Bestand!$A$14:$A$213,0)),"ID unbekannt"))</f>
        <v/>
      </c>
      <c r="C135" s="63" t="n"/>
      <c r="D135" s="61" t="n"/>
      <c r="E135" s="60" t="n"/>
      <c r="F135" s="61" t="n"/>
    </row>
    <row r="136">
      <c r="A136" s="60" t="n"/>
      <c r="B136" s="65">
        <f>IF(A136="","",IFERROR(INDEX(Bestand!$B$14:$B$213,MATCH(A136,Bestand!$A$14:$A$213,0)),"ID unbekannt"))</f>
        <v/>
      </c>
      <c r="C136" s="63" t="n"/>
      <c r="D136" s="61" t="n"/>
      <c r="E136" s="60" t="n"/>
      <c r="F136" s="61" t="n"/>
    </row>
    <row r="137">
      <c r="A137" s="60" t="n"/>
      <c r="B137" s="65">
        <f>IF(A137="","",IFERROR(INDEX(Bestand!$B$14:$B$213,MATCH(A137,Bestand!$A$14:$A$213,0)),"ID unbekannt"))</f>
        <v/>
      </c>
      <c r="C137" s="63" t="n"/>
      <c r="D137" s="61" t="n"/>
      <c r="E137" s="60" t="n"/>
      <c r="F137" s="61" t="n"/>
    </row>
    <row r="138">
      <c r="A138" s="60" t="n"/>
      <c r="B138" s="65">
        <f>IF(A138="","",IFERROR(INDEX(Bestand!$B$14:$B$213,MATCH(A138,Bestand!$A$14:$A$213,0)),"ID unbekannt"))</f>
        <v/>
      </c>
      <c r="C138" s="63" t="n"/>
      <c r="D138" s="61" t="n"/>
      <c r="E138" s="60" t="n"/>
      <c r="F138" s="61" t="n"/>
    </row>
    <row r="139">
      <c r="A139" s="60" t="n"/>
      <c r="B139" s="65">
        <f>IF(A139="","",IFERROR(INDEX(Bestand!$B$14:$B$213,MATCH(A139,Bestand!$A$14:$A$213,0)),"ID unbekannt"))</f>
        <v/>
      </c>
      <c r="C139" s="63" t="n"/>
      <c r="D139" s="61" t="n"/>
      <c r="E139" s="60" t="n"/>
      <c r="F139" s="61" t="n"/>
    </row>
    <row r="140">
      <c r="A140" s="60" t="n"/>
      <c r="B140" s="65">
        <f>IF(A140="","",IFERROR(INDEX(Bestand!$B$14:$B$213,MATCH(A140,Bestand!$A$14:$A$213,0)),"ID unbekannt"))</f>
        <v/>
      </c>
      <c r="C140" s="63" t="n"/>
      <c r="D140" s="61" t="n"/>
      <c r="E140" s="60" t="n"/>
      <c r="F140" s="61" t="n"/>
    </row>
    <row r="141">
      <c r="A141" s="60" t="n"/>
      <c r="B141" s="65">
        <f>IF(A141="","",IFERROR(INDEX(Bestand!$B$14:$B$213,MATCH(A141,Bestand!$A$14:$A$213,0)),"ID unbekannt"))</f>
        <v/>
      </c>
      <c r="C141" s="63" t="n"/>
      <c r="D141" s="61" t="n"/>
      <c r="E141" s="60" t="n"/>
      <c r="F141" s="61" t="n"/>
    </row>
    <row r="142">
      <c r="A142" s="60" t="n"/>
      <c r="B142" s="65">
        <f>IF(A142="","",IFERROR(INDEX(Bestand!$B$14:$B$213,MATCH(A142,Bestand!$A$14:$A$213,0)),"ID unbekannt"))</f>
        <v/>
      </c>
      <c r="C142" s="63" t="n"/>
      <c r="D142" s="61" t="n"/>
      <c r="E142" s="60" t="n"/>
      <c r="F142" s="61" t="n"/>
    </row>
    <row r="143">
      <c r="A143" s="60" t="n"/>
      <c r="B143" s="65">
        <f>IF(A143="","",IFERROR(INDEX(Bestand!$B$14:$B$213,MATCH(A143,Bestand!$A$14:$A$213,0)),"ID unbekannt"))</f>
        <v/>
      </c>
      <c r="C143" s="63" t="n"/>
      <c r="D143" s="61" t="n"/>
      <c r="E143" s="60" t="n"/>
      <c r="F143" s="61" t="n"/>
    </row>
    <row r="144">
      <c r="A144" s="60" t="n"/>
      <c r="B144" s="65">
        <f>IF(A144="","",IFERROR(INDEX(Bestand!$B$14:$B$213,MATCH(A144,Bestand!$A$14:$A$213,0)),"ID unbekannt"))</f>
        <v/>
      </c>
      <c r="C144" s="63" t="n"/>
      <c r="D144" s="61" t="n"/>
      <c r="E144" s="60" t="n"/>
      <c r="F144" s="61" t="n"/>
    </row>
    <row r="145">
      <c r="A145" s="60" t="n"/>
      <c r="B145" s="65">
        <f>IF(A145="","",IFERROR(INDEX(Bestand!$B$14:$B$213,MATCH(A145,Bestand!$A$14:$A$213,0)),"ID unbekannt"))</f>
        <v/>
      </c>
      <c r="C145" s="63" t="n"/>
      <c r="D145" s="61" t="n"/>
      <c r="E145" s="60" t="n"/>
      <c r="F145" s="61" t="n"/>
    </row>
    <row r="146">
      <c r="A146" s="60" t="n"/>
      <c r="B146" s="65">
        <f>IF(A146="","",IFERROR(INDEX(Bestand!$B$14:$B$213,MATCH(A146,Bestand!$A$14:$A$213,0)),"ID unbekannt"))</f>
        <v/>
      </c>
      <c r="C146" s="63" t="n"/>
      <c r="D146" s="61" t="n"/>
      <c r="E146" s="60" t="n"/>
      <c r="F146" s="61" t="n"/>
    </row>
    <row r="147">
      <c r="A147" s="60" t="n"/>
      <c r="B147" s="65">
        <f>IF(A147="","",IFERROR(INDEX(Bestand!$B$14:$B$213,MATCH(A147,Bestand!$A$14:$A$213,0)),"ID unbekannt"))</f>
        <v/>
      </c>
      <c r="C147" s="63" t="n"/>
      <c r="D147" s="61" t="n"/>
      <c r="E147" s="60" t="n"/>
      <c r="F147" s="61" t="n"/>
    </row>
    <row r="148">
      <c r="A148" s="60" t="n"/>
      <c r="B148" s="65">
        <f>IF(A148="","",IFERROR(INDEX(Bestand!$B$14:$B$213,MATCH(A148,Bestand!$A$14:$A$213,0)),"ID unbekannt"))</f>
        <v/>
      </c>
      <c r="C148" s="63" t="n"/>
      <c r="D148" s="61" t="n"/>
      <c r="E148" s="60" t="n"/>
      <c r="F148" s="61" t="n"/>
    </row>
    <row r="149">
      <c r="A149" s="60" t="n"/>
      <c r="B149" s="65">
        <f>IF(A149="","",IFERROR(INDEX(Bestand!$B$14:$B$213,MATCH(A149,Bestand!$A$14:$A$213,0)),"ID unbekannt"))</f>
        <v/>
      </c>
      <c r="C149" s="63" t="n"/>
      <c r="D149" s="61" t="n"/>
      <c r="E149" s="60" t="n"/>
      <c r="F149" s="61" t="n"/>
    </row>
    <row r="150">
      <c r="A150" s="60" t="n"/>
      <c r="B150" s="65">
        <f>IF(A150="","",IFERROR(INDEX(Bestand!$B$14:$B$213,MATCH(A150,Bestand!$A$14:$A$213,0)),"ID unbekannt"))</f>
        <v/>
      </c>
      <c r="C150" s="63" t="n"/>
      <c r="D150" s="61" t="n"/>
      <c r="E150" s="60" t="n"/>
      <c r="F150" s="61" t="n"/>
    </row>
    <row r="151">
      <c r="A151" s="60" t="n"/>
      <c r="B151" s="65">
        <f>IF(A151="","",IFERROR(INDEX(Bestand!$B$14:$B$213,MATCH(A151,Bestand!$A$14:$A$213,0)),"ID unbekannt"))</f>
        <v/>
      </c>
      <c r="C151" s="63" t="n"/>
      <c r="D151" s="61" t="n"/>
      <c r="E151" s="60" t="n"/>
      <c r="F151" s="61" t="n"/>
    </row>
    <row r="152">
      <c r="A152" s="60" t="n"/>
      <c r="B152" s="65">
        <f>IF(A152="","",IFERROR(INDEX(Bestand!$B$14:$B$213,MATCH(A152,Bestand!$A$14:$A$213,0)),"ID unbekannt"))</f>
        <v/>
      </c>
      <c r="C152" s="63" t="n"/>
      <c r="D152" s="61" t="n"/>
      <c r="E152" s="60" t="n"/>
      <c r="F152" s="61" t="n"/>
    </row>
    <row r="153">
      <c r="A153" s="60" t="n"/>
      <c r="B153" s="65">
        <f>IF(A153="","",IFERROR(INDEX(Bestand!$B$14:$B$213,MATCH(A153,Bestand!$A$14:$A$213,0)),"ID unbekannt"))</f>
        <v/>
      </c>
      <c r="C153" s="63" t="n"/>
      <c r="D153" s="61" t="n"/>
      <c r="E153" s="60" t="n"/>
      <c r="F153" s="61" t="n"/>
    </row>
    <row r="154">
      <c r="A154" s="60" t="n"/>
      <c r="B154" s="65">
        <f>IF(A154="","",IFERROR(INDEX(Bestand!$B$14:$B$213,MATCH(A154,Bestand!$A$14:$A$213,0)),"ID unbekannt"))</f>
        <v/>
      </c>
      <c r="C154" s="63" t="n"/>
      <c r="D154" s="61" t="n"/>
      <c r="E154" s="60" t="n"/>
      <c r="F154" s="61" t="n"/>
    </row>
    <row r="155">
      <c r="A155" s="60" t="n"/>
      <c r="B155" s="65">
        <f>IF(A155="","",IFERROR(INDEX(Bestand!$B$14:$B$213,MATCH(A155,Bestand!$A$14:$A$213,0)),"ID unbekannt"))</f>
        <v/>
      </c>
      <c r="C155" s="63" t="n"/>
      <c r="D155" s="61" t="n"/>
      <c r="E155" s="60" t="n"/>
      <c r="F155" s="61" t="n"/>
    </row>
    <row r="156">
      <c r="A156" s="60" t="n"/>
      <c r="B156" s="65">
        <f>IF(A156="","",IFERROR(INDEX(Bestand!$B$14:$B$213,MATCH(A156,Bestand!$A$14:$A$213,0)),"ID unbekannt"))</f>
        <v/>
      </c>
      <c r="C156" s="63" t="n"/>
      <c r="D156" s="61" t="n"/>
      <c r="E156" s="60" t="n"/>
      <c r="F156" s="61" t="n"/>
    </row>
    <row r="157">
      <c r="A157" s="60" t="n"/>
      <c r="B157" s="65">
        <f>IF(A157="","",IFERROR(INDEX(Bestand!$B$14:$B$213,MATCH(A157,Bestand!$A$14:$A$213,0)),"ID unbekannt"))</f>
        <v/>
      </c>
      <c r="C157" s="63" t="n"/>
      <c r="D157" s="61" t="n"/>
      <c r="E157" s="60" t="n"/>
      <c r="F157" s="61" t="n"/>
    </row>
    <row r="158">
      <c r="A158" s="60" t="n"/>
      <c r="B158" s="65">
        <f>IF(A158="","",IFERROR(INDEX(Bestand!$B$14:$B$213,MATCH(A158,Bestand!$A$14:$A$213,0)),"ID unbekannt"))</f>
        <v/>
      </c>
      <c r="C158" s="63" t="n"/>
      <c r="D158" s="61" t="n"/>
      <c r="E158" s="60" t="n"/>
      <c r="F158" s="61" t="n"/>
    </row>
    <row r="159">
      <c r="A159" s="60" t="n"/>
      <c r="B159" s="65">
        <f>IF(A159="","",IFERROR(INDEX(Bestand!$B$14:$B$213,MATCH(A159,Bestand!$A$14:$A$213,0)),"ID unbekannt"))</f>
        <v/>
      </c>
      <c r="C159" s="63" t="n"/>
      <c r="D159" s="61" t="n"/>
      <c r="E159" s="60" t="n"/>
      <c r="F159" s="61" t="n"/>
    </row>
    <row r="160">
      <c r="A160" s="60" t="n"/>
      <c r="B160" s="65">
        <f>IF(A160="","",IFERROR(INDEX(Bestand!$B$14:$B$213,MATCH(A160,Bestand!$A$14:$A$213,0)),"ID unbekannt"))</f>
        <v/>
      </c>
      <c r="C160" s="63" t="n"/>
      <c r="D160" s="61" t="n"/>
      <c r="E160" s="60" t="n"/>
      <c r="F160" s="61" t="n"/>
    </row>
    <row r="161">
      <c r="A161" s="60" t="n"/>
      <c r="B161" s="65">
        <f>IF(A161="","",IFERROR(INDEX(Bestand!$B$14:$B$213,MATCH(A161,Bestand!$A$14:$A$213,0)),"ID unbekannt"))</f>
        <v/>
      </c>
      <c r="C161" s="63" t="n"/>
      <c r="D161" s="61" t="n"/>
      <c r="E161" s="60" t="n"/>
      <c r="F161" s="61" t="n"/>
    </row>
    <row r="162">
      <c r="A162" s="60" t="n"/>
      <c r="B162" s="65">
        <f>IF(A162="","",IFERROR(INDEX(Bestand!$B$14:$B$213,MATCH(A162,Bestand!$A$14:$A$213,0)),"ID unbekannt"))</f>
        <v/>
      </c>
      <c r="C162" s="63" t="n"/>
      <c r="D162" s="61" t="n"/>
      <c r="E162" s="60" t="n"/>
      <c r="F162" s="61" t="n"/>
    </row>
    <row r="163">
      <c r="A163" s="60" t="n"/>
      <c r="B163" s="65">
        <f>IF(A163="","",IFERROR(INDEX(Bestand!$B$14:$B$213,MATCH(A163,Bestand!$A$14:$A$213,0)),"ID unbekannt"))</f>
        <v/>
      </c>
      <c r="C163" s="63" t="n"/>
      <c r="D163" s="61" t="n"/>
      <c r="E163" s="60" t="n"/>
      <c r="F163" s="61" t="n"/>
    </row>
    <row r="164">
      <c r="A164" s="60" t="n"/>
      <c r="B164" s="65">
        <f>IF(A164="","",IFERROR(INDEX(Bestand!$B$14:$B$213,MATCH(A164,Bestand!$A$14:$A$213,0)),"ID unbekannt"))</f>
        <v/>
      </c>
      <c r="C164" s="63" t="n"/>
      <c r="D164" s="61" t="n"/>
      <c r="E164" s="60" t="n"/>
      <c r="F164" s="61" t="n"/>
    </row>
    <row r="165">
      <c r="A165" s="60" t="n"/>
      <c r="B165" s="65">
        <f>IF(A165="","",IFERROR(INDEX(Bestand!$B$14:$B$213,MATCH(A165,Bestand!$A$14:$A$213,0)),"ID unbekannt"))</f>
        <v/>
      </c>
      <c r="C165" s="63" t="n"/>
      <c r="D165" s="61" t="n"/>
      <c r="E165" s="60" t="n"/>
      <c r="F165" s="61" t="n"/>
    </row>
    <row r="166">
      <c r="A166" s="60" t="n"/>
      <c r="B166" s="65">
        <f>IF(A166="","",IFERROR(INDEX(Bestand!$B$14:$B$213,MATCH(A166,Bestand!$A$14:$A$213,0)),"ID unbekannt"))</f>
        <v/>
      </c>
      <c r="C166" s="63" t="n"/>
      <c r="D166" s="61" t="n"/>
      <c r="E166" s="60" t="n"/>
      <c r="F166" s="61" t="n"/>
    </row>
    <row r="167">
      <c r="A167" s="60" t="n"/>
      <c r="B167" s="65">
        <f>IF(A167="","",IFERROR(INDEX(Bestand!$B$14:$B$213,MATCH(A167,Bestand!$A$14:$A$213,0)),"ID unbekannt"))</f>
        <v/>
      </c>
      <c r="C167" s="63" t="n"/>
      <c r="D167" s="61" t="n"/>
      <c r="E167" s="60" t="n"/>
      <c r="F167" s="61" t="n"/>
    </row>
    <row r="168">
      <c r="A168" s="60" t="n"/>
      <c r="B168" s="65">
        <f>IF(A168="","",IFERROR(INDEX(Bestand!$B$14:$B$213,MATCH(A168,Bestand!$A$14:$A$213,0)),"ID unbekannt"))</f>
        <v/>
      </c>
      <c r="C168" s="63" t="n"/>
      <c r="D168" s="61" t="n"/>
      <c r="E168" s="60" t="n"/>
      <c r="F168" s="61" t="n"/>
    </row>
    <row r="169">
      <c r="A169" s="60" t="n"/>
      <c r="B169" s="65">
        <f>IF(A169="","",IFERROR(INDEX(Bestand!$B$14:$B$213,MATCH(A169,Bestand!$A$14:$A$213,0)),"ID unbekannt"))</f>
        <v/>
      </c>
      <c r="C169" s="63" t="n"/>
      <c r="D169" s="61" t="n"/>
      <c r="E169" s="60" t="n"/>
      <c r="F169" s="61" t="n"/>
    </row>
    <row r="170">
      <c r="A170" s="60" t="n"/>
      <c r="B170" s="65">
        <f>IF(A170="","",IFERROR(INDEX(Bestand!$B$14:$B$213,MATCH(A170,Bestand!$A$14:$A$213,0)),"ID unbekannt"))</f>
        <v/>
      </c>
      <c r="C170" s="63" t="n"/>
      <c r="D170" s="61" t="n"/>
      <c r="E170" s="60" t="n"/>
      <c r="F170" s="61" t="n"/>
    </row>
    <row r="171">
      <c r="A171" s="60" t="n"/>
      <c r="B171" s="65">
        <f>IF(A171="","",IFERROR(INDEX(Bestand!$B$14:$B$213,MATCH(A171,Bestand!$A$14:$A$213,0)),"ID unbekannt"))</f>
        <v/>
      </c>
      <c r="C171" s="63" t="n"/>
      <c r="D171" s="61" t="n"/>
      <c r="E171" s="60" t="n"/>
      <c r="F171" s="61" t="n"/>
    </row>
    <row r="172">
      <c r="A172" s="60" t="n"/>
      <c r="B172" s="65">
        <f>IF(A172="","",IFERROR(INDEX(Bestand!$B$14:$B$213,MATCH(A172,Bestand!$A$14:$A$213,0)),"ID unbekannt"))</f>
        <v/>
      </c>
      <c r="C172" s="63" t="n"/>
      <c r="D172" s="61" t="n"/>
      <c r="E172" s="60" t="n"/>
      <c r="F172" s="61" t="n"/>
    </row>
    <row r="173">
      <c r="A173" s="60" t="n"/>
      <c r="B173" s="65">
        <f>IF(A173="","",IFERROR(INDEX(Bestand!$B$14:$B$213,MATCH(A173,Bestand!$A$14:$A$213,0)),"ID unbekannt"))</f>
        <v/>
      </c>
      <c r="C173" s="63" t="n"/>
      <c r="D173" s="61" t="n"/>
      <c r="E173" s="60" t="n"/>
      <c r="F173" s="61" t="n"/>
    </row>
    <row r="174">
      <c r="A174" s="60" t="n"/>
      <c r="B174" s="65">
        <f>IF(A174="","",IFERROR(INDEX(Bestand!$B$14:$B$213,MATCH(A174,Bestand!$A$14:$A$213,0)),"ID unbekannt"))</f>
        <v/>
      </c>
      <c r="C174" s="63" t="n"/>
      <c r="D174" s="61" t="n"/>
      <c r="E174" s="60" t="n"/>
      <c r="F174" s="61" t="n"/>
    </row>
    <row r="175">
      <c r="A175" s="60" t="n"/>
      <c r="B175" s="65">
        <f>IF(A175="","",IFERROR(INDEX(Bestand!$B$14:$B$213,MATCH(A175,Bestand!$A$14:$A$213,0)),"ID unbekannt"))</f>
        <v/>
      </c>
      <c r="C175" s="63" t="n"/>
      <c r="D175" s="61" t="n"/>
      <c r="E175" s="60" t="n"/>
      <c r="F175" s="61" t="n"/>
    </row>
    <row r="176">
      <c r="A176" s="60" t="n"/>
      <c r="B176" s="65">
        <f>IF(A176="","",IFERROR(INDEX(Bestand!$B$14:$B$213,MATCH(A176,Bestand!$A$14:$A$213,0)),"ID unbekannt"))</f>
        <v/>
      </c>
      <c r="C176" s="63" t="n"/>
      <c r="D176" s="61" t="n"/>
      <c r="E176" s="60" t="n"/>
      <c r="F176" s="61" t="n"/>
    </row>
    <row r="177">
      <c r="A177" s="60" t="n"/>
      <c r="B177" s="65">
        <f>IF(A177="","",IFERROR(INDEX(Bestand!$B$14:$B$213,MATCH(A177,Bestand!$A$14:$A$213,0)),"ID unbekannt"))</f>
        <v/>
      </c>
      <c r="C177" s="63" t="n"/>
      <c r="D177" s="61" t="n"/>
      <c r="E177" s="60" t="n"/>
      <c r="F177" s="61" t="n"/>
    </row>
    <row r="178">
      <c r="A178" s="60" t="n"/>
      <c r="B178" s="65">
        <f>IF(A178="","",IFERROR(INDEX(Bestand!$B$14:$B$213,MATCH(A178,Bestand!$A$14:$A$213,0)),"ID unbekannt"))</f>
        <v/>
      </c>
      <c r="C178" s="63" t="n"/>
      <c r="D178" s="61" t="n"/>
      <c r="E178" s="60" t="n"/>
      <c r="F178" s="61" t="n"/>
    </row>
    <row r="179">
      <c r="A179" s="60" t="n"/>
      <c r="B179" s="65">
        <f>IF(A179="","",IFERROR(INDEX(Bestand!$B$14:$B$213,MATCH(A179,Bestand!$A$14:$A$213,0)),"ID unbekannt"))</f>
        <v/>
      </c>
      <c r="C179" s="63" t="n"/>
      <c r="D179" s="61" t="n"/>
      <c r="E179" s="60" t="n"/>
      <c r="F179" s="61" t="n"/>
    </row>
    <row r="180">
      <c r="A180" s="60" t="n"/>
      <c r="B180" s="65">
        <f>IF(A180="","",IFERROR(INDEX(Bestand!$B$14:$B$213,MATCH(A180,Bestand!$A$14:$A$213,0)),"ID unbekannt"))</f>
        <v/>
      </c>
      <c r="C180" s="63" t="n"/>
      <c r="D180" s="61" t="n"/>
      <c r="E180" s="60" t="n"/>
      <c r="F180" s="61" t="n"/>
    </row>
    <row r="181">
      <c r="A181" s="60" t="n"/>
      <c r="B181" s="65">
        <f>IF(A181="","",IFERROR(INDEX(Bestand!$B$14:$B$213,MATCH(A181,Bestand!$A$14:$A$213,0)),"ID unbekannt"))</f>
        <v/>
      </c>
      <c r="C181" s="63" t="n"/>
      <c r="D181" s="61" t="n"/>
      <c r="E181" s="60" t="n"/>
      <c r="F181" s="61" t="n"/>
    </row>
    <row r="182">
      <c r="A182" s="60" t="n"/>
      <c r="B182" s="65">
        <f>IF(A182="","",IFERROR(INDEX(Bestand!$B$14:$B$213,MATCH(A182,Bestand!$A$14:$A$213,0)),"ID unbekannt"))</f>
        <v/>
      </c>
      <c r="C182" s="63" t="n"/>
      <c r="D182" s="61" t="n"/>
      <c r="E182" s="60" t="n"/>
      <c r="F182" s="61" t="n"/>
    </row>
    <row r="183">
      <c r="A183" s="60" t="n"/>
      <c r="B183" s="65">
        <f>IF(A183="","",IFERROR(INDEX(Bestand!$B$14:$B$213,MATCH(A183,Bestand!$A$14:$A$213,0)),"ID unbekannt"))</f>
        <v/>
      </c>
      <c r="C183" s="63" t="n"/>
      <c r="D183" s="61" t="n"/>
      <c r="E183" s="60" t="n"/>
      <c r="F183" s="61" t="n"/>
    </row>
    <row r="184">
      <c r="A184" s="60" t="n"/>
      <c r="B184" s="65">
        <f>IF(A184="","",IFERROR(INDEX(Bestand!$B$14:$B$213,MATCH(A184,Bestand!$A$14:$A$213,0)),"ID unbekannt"))</f>
        <v/>
      </c>
      <c r="C184" s="63" t="n"/>
      <c r="D184" s="61" t="n"/>
      <c r="E184" s="60" t="n"/>
      <c r="F184" s="61" t="n"/>
    </row>
    <row r="185">
      <c r="A185" s="60" t="n"/>
      <c r="B185" s="65">
        <f>IF(A185="","",IFERROR(INDEX(Bestand!$B$14:$B$213,MATCH(A185,Bestand!$A$14:$A$213,0)),"ID unbekannt"))</f>
        <v/>
      </c>
      <c r="C185" s="63" t="n"/>
      <c r="D185" s="61" t="n"/>
      <c r="E185" s="60" t="n"/>
      <c r="F185" s="61" t="n"/>
    </row>
    <row r="186">
      <c r="A186" s="60" t="n"/>
      <c r="B186" s="65">
        <f>IF(A186="","",IFERROR(INDEX(Bestand!$B$14:$B$213,MATCH(A186,Bestand!$A$14:$A$213,0)),"ID unbekannt"))</f>
        <v/>
      </c>
      <c r="C186" s="63" t="n"/>
      <c r="D186" s="61" t="n"/>
      <c r="E186" s="60" t="n"/>
      <c r="F186" s="61" t="n"/>
    </row>
    <row r="187">
      <c r="A187" s="60" t="n"/>
      <c r="B187" s="65">
        <f>IF(A187="","",IFERROR(INDEX(Bestand!$B$14:$B$213,MATCH(A187,Bestand!$A$14:$A$213,0)),"ID unbekannt"))</f>
        <v/>
      </c>
      <c r="C187" s="63" t="n"/>
      <c r="D187" s="61" t="n"/>
      <c r="E187" s="60" t="n"/>
      <c r="F187" s="61" t="n"/>
    </row>
    <row r="188">
      <c r="A188" s="60" t="n"/>
      <c r="B188" s="65">
        <f>IF(A188="","",IFERROR(INDEX(Bestand!$B$14:$B$213,MATCH(A188,Bestand!$A$14:$A$213,0)),"ID unbekannt"))</f>
        <v/>
      </c>
      <c r="C188" s="63" t="n"/>
      <c r="D188" s="61" t="n"/>
      <c r="E188" s="60" t="n"/>
      <c r="F188" s="61" t="n"/>
    </row>
    <row r="189">
      <c r="A189" s="60" t="n"/>
      <c r="B189" s="65">
        <f>IF(A189="","",IFERROR(INDEX(Bestand!$B$14:$B$213,MATCH(A189,Bestand!$A$14:$A$213,0)),"ID unbekannt"))</f>
        <v/>
      </c>
      <c r="C189" s="63" t="n"/>
      <c r="D189" s="61" t="n"/>
      <c r="E189" s="60" t="n"/>
      <c r="F189" s="61" t="n"/>
    </row>
    <row r="190">
      <c r="A190" s="60" t="n"/>
      <c r="B190" s="65">
        <f>IF(A190="","",IFERROR(INDEX(Bestand!$B$14:$B$213,MATCH(A190,Bestand!$A$14:$A$213,0)),"ID unbekannt"))</f>
        <v/>
      </c>
      <c r="C190" s="63" t="n"/>
      <c r="D190" s="61" t="n"/>
      <c r="E190" s="60" t="n"/>
      <c r="F190" s="61" t="n"/>
    </row>
    <row r="191">
      <c r="A191" s="60" t="n"/>
      <c r="B191" s="65">
        <f>IF(A191="","",IFERROR(INDEX(Bestand!$B$14:$B$213,MATCH(A191,Bestand!$A$14:$A$213,0)),"ID unbekannt"))</f>
        <v/>
      </c>
      <c r="C191" s="63" t="n"/>
      <c r="D191" s="61" t="n"/>
      <c r="E191" s="60" t="n"/>
      <c r="F191" s="61" t="n"/>
    </row>
    <row r="192">
      <c r="A192" s="60" t="n"/>
      <c r="B192" s="65">
        <f>IF(A192="","",IFERROR(INDEX(Bestand!$B$14:$B$213,MATCH(A192,Bestand!$A$14:$A$213,0)),"ID unbekannt"))</f>
        <v/>
      </c>
      <c r="C192" s="63" t="n"/>
      <c r="D192" s="61" t="n"/>
      <c r="E192" s="60" t="n"/>
      <c r="F192" s="61" t="n"/>
    </row>
    <row r="193">
      <c r="A193" s="60" t="n"/>
      <c r="B193" s="65">
        <f>IF(A193="","",IFERROR(INDEX(Bestand!$B$14:$B$213,MATCH(A193,Bestand!$A$14:$A$213,0)),"ID unbekannt"))</f>
        <v/>
      </c>
      <c r="C193" s="63" t="n"/>
      <c r="D193" s="61" t="n"/>
      <c r="E193" s="60" t="n"/>
      <c r="F193" s="61" t="n"/>
    </row>
    <row r="194">
      <c r="A194" s="60" t="n"/>
      <c r="B194" s="65">
        <f>IF(A194="","",IFERROR(INDEX(Bestand!$B$14:$B$213,MATCH(A194,Bestand!$A$14:$A$213,0)),"ID unbekannt"))</f>
        <v/>
      </c>
      <c r="C194" s="63" t="n"/>
      <c r="D194" s="61" t="n"/>
      <c r="E194" s="60" t="n"/>
      <c r="F194" s="61" t="n"/>
    </row>
    <row r="195">
      <c r="A195" s="60" t="n"/>
      <c r="B195" s="65">
        <f>IF(A195="","",IFERROR(INDEX(Bestand!$B$14:$B$213,MATCH(A195,Bestand!$A$14:$A$213,0)),"ID unbekannt"))</f>
        <v/>
      </c>
      <c r="C195" s="63" t="n"/>
      <c r="D195" s="61" t="n"/>
      <c r="E195" s="60" t="n"/>
      <c r="F195" s="61" t="n"/>
    </row>
    <row r="196">
      <c r="A196" s="60" t="n"/>
      <c r="B196" s="65">
        <f>IF(A196="","",IFERROR(INDEX(Bestand!$B$14:$B$213,MATCH(A196,Bestand!$A$14:$A$213,0)),"ID unbekannt"))</f>
        <v/>
      </c>
      <c r="C196" s="63" t="n"/>
      <c r="D196" s="61" t="n"/>
      <c r="E196" s="60" t="n"/>
      <c r="F196" s="61" t="n"/>
    </row>
    <row r="197">
      <c r="A197" s="60" t="n"/>
      <c r="B197" s="65">
        <f>IF(A197="","",IFERROR(INDEX(Bestand!$B$14:$B$213,MATCH(A197,Bestand!$A$14:$A$213,0)),"ID unbekannt"))</f>
        <v/>
      </c>
      <c r="C197" s="63" t="n"/>
      <c r="D197" s="61" t="n"/>
      <c r="E197" s="60" t="n"/>
      <c r="F197" s="61" t="n"/>
    </row>
    <row r="198">
      <c r="A198" s="60" t="n"/>
      <c r="B198" s="65">
        <f>IF(A198="","",IFERROR(INDEX(Bestand!$B$14:$B$213,MATCH(A198,Bestand!$A$14:$A$213,0)),"ID unbekannt"))</f>
        <v/>
      </c>
      <c r="C198" s="63" t="n"/>
      <c r="D198" s="61" t="n"/>
      <c r="E198" s="60" t="n"/>
      <c r="F198" s="61" t="n"/>
    </row>
    <row r="199">
      <c r="A199" s="60" t="n"/>
      <c r="B199" s="65">
        <f>IF(A199="","",IFERROR(INDEX(Bestand!$B$14:$B$213,MATCH(A199,Bestand!$A$14:$A$213,0)),"ID unbekannt"))</f>
        <v/>
      </c>
      <c r="C199" s="63" t="n"/>
      <c r="D199" s="61" t="n"/>
      <c r="E199" s="60" t="n"/>
      <c r="F199" s="61" t="n"/>
    </row>
    <row r="200">
      <c r="A200" s="60" t="n"/>
      <c r="B200" s="65">
        <f>IF(A200="","",IFERROR(INDEX(Bestand!$B$14:$B$213,MATCH(A200,Bestand!$A$14:$A$213,0)),"ID unbekannt"))</f>
        <v/>
      </c>
      <c r="C200" s="63" t="n"/>
      <c r="D200" s="61" t="n"/>
      <c r="E200" s="60" t="n"/>
      <c r="F200" s="61" t="n"/>
    </row>
    <row r="201">
      <c r="A201" s="60" t="n"/>
      <c r="B201" s="65">
        <f>IF(A201="","",IFERROR(INDEX(Bestand!$B$14:$B$213,MATCH(A201,Bestand!$A$14:$A$213,0)),"ID unbekannt"))</f>
        <v/>
      </c>
      <c r="C201" s="63" t="n"/>
      <c r="D201" s="61" t="n"/>
      <c r="E201" s="60" t="n"/>
      <c r="F201" s="61" t="n"/>
    </row>
    <row r="202">
      <c r="A202" s="60" t="n"/>
      <c r="B202" s="65">
        <f>IF(A202="","",IFERROR(INDEX(Bestand!$B$14:$B$213,MATCH(A202,Bestand!$A$14:$A$213,0)),"ID unbekannt"))</f>
        <v/>
      </c>
      <c r="C202" s="63" t="n"/>
      <c r="D202" s="61" t="n"/>
      <c r="E202" s="60" t="n"/>
      <c r="F202" s="61" t="n"/>
    </row>
    <row r="203">
      <c r="A203" s="60" t="n"/>
      <c r="B203" s="65">
        <f>IF(A203="","",IFERROR(INDEX(Bestand!$B$14:$B$213,MATCH(A203,Bestand!$A$14:$A$213,0)),"ID unbekannt"))</f>
        <v/>
      </c>
      <c r="C203" s="63" t="n"/>
      <c r="D203" s="61" t="n"/>
      <c r="E203" s="60" t="n"/>
      <c r="F203" s="61" t="n"/>
    </row>
    <row r="204">
      <c r="A204" s="60" t="n"/>
      <c r="B204" s="65">
        <f>IF(A204="","",IFERROR(INDEX(Bestand!$B$14:$B$213,MATCH(A204,Bestand!$A$14:$A$213,0)),"ID unbekannt"))</f>
        <v/>
      </c>
      <c r="C204" s="63" t="n"/>
      <c r="D204" s="61" t="n"/>
      <c r="E204" s="60" t="n"/>
      <c r="F204" s="61" t="n"/>
    </row>
    <row r="205">
      <c r="A205" s="60" t="n"/>
      <c r="B205" s="65">
        <f>IF(A205="","",IFERROR(INDEX(Bestand!$B$14:$B$213,MATCH(A205,Bestand!$A$14:$A$213,0)),"ID unbekannt"))</f>
        <v/>
      </c>
      <c r="C205" s="63" t="n"/>
      <c r="D205" s="61" t="n"/>
      <c r="E205" s="60" t="n"/>
      <c r="F205" s="61" t="n"/>
    </row>
    <row r="206">
      <c r="A206" s="60" t="n"/>
      <c r="B206" s="65">
        <f>IF(A206="","",IFERROR(INDEX(Bestand!$B$14:$B$213,MATCH(A206,Bestand!$A$14:$A$213,0)),"ID unbekannt"))</f>
        <v/>
      </c>
      <c r="C206" s="63" t="n"/>
      <c r="D206" s="61" t="n"/>
      <c r="E206" s="60" t="n"/>
      <c r="F206" s="61" t="n"/>
    </row>
    <row r="207">
      <c r="A207" s="60" t="n"/>
      <c r="B207" s="65">
        <f>IF(A207="","",IFERROR(INDEX(Bestand!$B$14:$B$213,MATCH(A207,Bestand!$A$14:$A$213,0)),"ID unbekannt"))</f>
        <v/>
      </c>
      <c r="C207" s="63" t="n"/>
      <c r="D207" s="61" t="n"/>
      <c r="E207" s="60" t="n"/>
      <c r="F207" s="61" t="n"/>
    </row>
    <row r="208">
      <c r="A208" s="60" t="n"/>
      <c r="B208" s="65">
        <f>IF(A208="","",IFERROR(INDEX(Bestand!$B$14:$B$213,MATCH(A208,Bestand!$A$14:$A$213,0)),"ID unbekannt"))</f>
        <v/>
      </c>
      <c r="C208" s="63" t="n"/>
      <c r="D208" s="61" t="n"/>
      <c r="E208" s="60" t="n"/>
      <c r="F208" s="61" t="n"/>
    </row>
    <row r="209">
      <c r="A209" s="60" t="n"/>
      <c r="B209" s="65">
        <f>IF(A209="","",IFERROR(INDEX(Bestand!$B$14:$B$213,MATCH(A209,Bestand!$A$14:$A$213,0)),"ID unbekannt"))</f>
        <v/>
      </c>
      <c r="C209" s="63" t="n"/>
      <c r="D209" s="61" t="n"/>
      <c r="E209" s="60" t="n"/>
      <c r="F209" s="61" t="n"/>
    </row>
    <row r="210">
      <c r="A210" s="60" t="n"/>
      <c r="B210" s="65">
        <f>IF(A210="","",IFERROR(INDEX(Bestand!$B$14:$B$213,MATCH(A210,Bestand!$A$14:$A$213,0)),"ID unbekannt"))</f>
        <v/>
      </c>
      <c r="C210" s="63" t="n"/>
      <c r="D210" s="61" t="n"/>
      <c r="E210" s="60" t="n"/>
      <c r="F210" s="61" t="n"/>
    </row>
    <row r="211">
      <c r="A211" s="60" t="n"/>
      <c r="B211" s="65">
        <f>IF(A211="","",IFERROR(INDEX(Bestand!$B$14:$B$213,MATCH(A211,Bestand!$A$14:$A$213,0)),"ID unbekannt"))</f>
        <v/>
      </c>
      <c r="C211" s="63" t="n"/>
      <c r="D211" s="61" t="n"/>
      <c r="E211" s="60" t="n"/>
      <c r="F211" s="61" t="n"/>
    </row>
    <row r="212">
      <c r="A212" s="60" t="n"/>
      <c r="B212" s="65">
        <f>IF(A212="","",IFERROR(INDEX(Bestand!$B$14:$B$213,MATCH(A212,Bestand!$A$14:$A$213,0)),"ID unbekannt"))</f>
        <v/>
      </c>
      <c r="C212" s="63" t="n"/>
      <c r="D212" s="61" t="n"/>
      <c r="E212" s="60" t="n"/>
      <c r="F212" s="61" t="n"/>
    </row>
    <row r="213">
      <c r="A213" s="60" t="n"/>
      <c r="B213" s="65">
        <f>IF(A213="","",IFERROR(INDEX(Bestand!$B$14:$B$213,MATCH(A213,Bestand!$A$14:$A$213,0)),"ID unbekannt"))</f>
        <v/>
      </c>
      <c r="C213" s="63" t="n"/>
      <c r="D213" s="61" t="n"/>
      <c r="E213" s="60" t="n"/>
      <c r="F213" s="61" t="n"/>
    </row>
    <row r="214">
      <c r="A214" s="60" t="n"/>
      <c r="B214" s="65">
        <f>IF(A214="","",IFERROR(INDEX(Bestand!$B$14:$B$213,MATCH(A214,Bestand!$A$14:$A$213,0)),"ID unbekannt"))</f>
        <v/>
      </c>
      <c r="C214" s="63" t="n"/>
      <c r="D214" s="61" t="n"/>
      <c r="E214" s="60" t="n"/>
      <c r="F214" s="61" t="n"/>
    </row>
    <row r="215">
      <c r="A215" s="60" t="n"/>
      <c r="B215" s="65">
        <f>IF(A215="","",IFERROR(INDEX(Bestand!$B$14:$B$213,MATCH(A215,Bestand!$A$14:$A$213,0)),"ID unbekannt"))</f>
        <v/>
      </c>
      <c r="C215" s="63" t="n"/>
      <c r="D215" s="61" t="n"/>
      <c r="E215" s="60" t="n"/>
      <c r="F215" s="61" t="n"/>
    </row>
    <row r="216">
      <c r="A216" s="60" t="n"/>
      <c r="B216" s="65">
        <f>IF(A216="","",IFERROR(INDEX(Bestand!$B$14:$B$213,MATCH(A216,Bestand!$A$14:$A$213,0)),"ID unbekannt"))</f>
        <v/>
      </c>
      <c r="C216" s="63" t="n"/>
      <c r="D216" s="61" t="n"/>
      <c r="E216" s="60" t="n"/>
      <c r="F216" s="61" t="n"/>
    </row>
    <row r="217">
      <c r="A217" s="60" t="n"/>
      <c r="B217" s="65">
        <f>IF(A217="","",IFERROR(INDEX(Bestand!$B$14:$B$213,MATCH(A217,Bestand!$A$14:$A$213,0)),"ID unbekannt"))</f>
        <v/>
      </c>
      <c r="C217" s="63" t="n"/>
      <c r="D217" s="61" t="n"/>
      <c r="E217" s="60" t="n"/>
      <c r="F217" s="61" t="n"/>
    </row>
    <row r="218">
      <c r="A218" s="60" t="n"/>
      <c r="B218" s="65">
        <f>IF(A218="","",IFERROR(INDEX(Bestand!$B$14:$B$213,MATCH(A218,Bestand!$A$14:$A$213,0)),"ID unbekannt"))</f>
        <v/>
      </c>
      <c r="C218" s="63" t="n"/>
      <c r="D218" s="61" t="n"/>
      <c r="E218" s="60" t="n"/>
      <c r="F218" s="61" t="n"/>
    </row>
    <row r="219">
      <c r="A219" s="60" t="n"/>
      <c r="B219" s="65">
        <f>IF(A219="","",IFERROR(INDEX(Bestand!$B$14:$B$213,MATCH(A219,Bestand!$A$14:$A$213,0)),"ID unbekannt"))</f>
        <v/>
      </c>
      <c r="C219" s="63" t="n"/>
      <c r="D219" s="61" t="n"/>
      <c r="E219" s="60" t="n"/>
      <c r="F219" s="61" t="n"/>
    </row>
    <row r="220">
      <c r="A220" s="60" t="n"/>
      <c r="B220" s="65">
        <f>IF(A220="","",IFERROR(INDEX(Bestand!$B$14:$B$213,MATCH(A220,Bestand!$A$14:$A$213,0)),"ID unbekannt"))</f>
        <v/>
      </c>
      <c r="C220" s="63" t="n"/>
      <c r="D220" s="61" t="n"/>
      <c r="E220" s="60" t="n"/>
      <c r="F220" s="61" t="n"/>
    </row>
    <row r="221">
      <c r="A221" s="60" t="n"/>
      <c r="B221" s="65">
        <f>IF(A221="","",IFERROR(INDEX(Bestand!$B$14:$B$213,MATCH(A221,Bestand!$A$14:$A$213,0)),"ID unbekannt"))</f>
        <v/>
      </c>
      <c r="C221" s="63" t="n"/>
      <c r="D221" s="61" t="n"/>
      <c r="E221" s="60" t="n"/>
      <c r="F221" s="61" t="n"/>
    </row>
    <row r="222">
      <c r="A222" s="60" t="n"/>
      <c r="B222" s="65">
        <f>IF(A222="","",IFERROR(INDEX(Bestand!$B$14:$B$213,MATCH(A222,Bestand!$A$14:$A$213,0)),"ID unbekannt"))</f>
        <v/>
      </c>
      <c r="C222" s="63" t="n"/>
      <c r="D222" s="61" t="n"/>
      <c r="E222" s="60" t="n"/>
      <c r="F222" s="61" t="n"/>
    </row>
    <row r="223">
      <c r="A223" s="60" t="n"/>
      <c r="B223" s="65">
        <f>IF(A223="","",IFERROR(INDEX(Bestand!$B$14:$B$213,MATCH(A223,Bestand!$A$14:$A$213,0)),"ID unbekannt"))</f>
        <v/>
      </c>
      <c r="C223" s="63" t="n"/>
      <c r="D223" s="61" t="n"/>
      <c r="E223" s="60" t="n"/>
      <c r="F223" s="61" t="n"/>
    </row>
    <row r="224">
      <c r="A224" s="60" t="n"/>
      <c r="B224" s="65">
        <f>IF(A224="","",IFERROR(INDEX(Bestand!$B$14:$B$213,MATCH(A224,Bestand!$A$14:$A$213,0)),"ID unbekannt"))</f>
        <v/>
      </c>
      <c r="C224" s="63" t="n"/>
      <c r="D224" s="61" t="n"/>
      <c r="E224" s="60" t="n"/>
      <c r="F224" s="61" t="n"/>
    </row>
    <row r="225">
      <c r="A225" s="60" t="n"/>
      <c r="B225" s="65">
        <f>IF(A225="","",IFERROR(INDEX(Bestand!$B$14:$B$213,MATCH(A225,Bestand!$A$14:$A$213,0)),"ID unbekannt"))</f>
        <v/>
      </c>
      <c r="C225" s="63" t="n"/>
      <c r="D225" s="61" t="n"/>
      <c r="E225" s="60" t="n"/>
      <c r="F225" s="61" t="n"/>
    </row>
    <row r="226">
      <c r="A226" s="60" t="n"/>
      <c r="B226" s="65">
        <f>IF(A226="","",IFERROR(INDEX(Bestand!$B$14:$B$213,MATCH(A226,Bestand!$A$14:$A$213,0)),"ID unbekannt"))</f>
        <v/>
      </c>
      <c r="C226" s="63" t="n"/>
      <c r="D226" s="61" t="n"/>
      <c r="E226" s="60" t="n"/>
      <c r="F226" s="61" t="n"/>
    </row>
    <row r="227">
      <c r="A227" s="60" t="n"/>
      <c r="B227" s="65">
        <f>IF(A227="","",IFERROR(INDEX(Bestand!$B$14:$B$213,MATCH(A227,Bestand!$A$14:$A$213,0)),"ID unbekannt"))</f>
        <v/>
      </c>
      <c r="C227" s="63" t="n"/>
      <c r="D227" s="61" t="n"/>
      <c r="E227" s="60" t="n"/>
      <c r="F227" s="61" t="n"/>
    </row>
    <row r="228">
      <c r="A228" s="60" t="n"/>
      <c r="B228" s="65">
        <f>IF(A228="","",IFERROR(INDEX(Bestand!$B$14:$B$213,MATCH(A228,Bestand!$A$14:$A$213,0)),"ID unbekannt"))</f>
        <v/>
      </c>
      <c r="C228" s="63" t="n"/>
      <c r="D228" s="61" t="n"/>
      <c r="E228" s="60" t="n"/>
      <c r="F228" s="61" t="n"/>
    </row>
    <row r="229">
      <c r="A229" s="60" t="n"/>
      <c r="B229" s="65">
        <f>IF(A229="","",IFERROR(INDEX(Bestand!$B$14:$B$213,MATCH(A229,Bestand!$A$14:$A$213,0)),"ID unbekannt"))</f>
        <v/>
      </c>
      <c r="C229" s="63" t="n"/>
      <c r="D229" s="61" t="n"/>
      <c r="E229" s="60" t="n"/>
      <c r="F229" s="61" t="n"/>
    </row>
    <row r="230">
      <c r="A230" s="60" t="n"/>
      <c r="B230" s="65">
        <f>IF(A230="","",IFERROR(INDEX(Bestand!$B$14:$B$213,MATCH(A230,Bestand!$A$14:$A$213,0)),"ID unbekannt"))</f>
        <v/>
      </c>
      <c r="C230" s="63" t="n"/>
      <c r="D230" s="61" t="n"/>
      <c r="E230" s="60" t="n"/>
      <c r="F230" s="61" t="n"/>
    </row>
    <row r="231">
      <c r="A231" s="60" t="n"/>
      <c r="B231" s="65">
        <f>IF(A231="","",IFERROR(INDEX(Bestand!$B$14:$B$213,MATCH(A231,Bestand!$A$14:$A$213,0)),"ID unbekannt"))</f>
        <v/>
      </c>
      <c r="C231" s="63" t="n"/>
      <c r="D231" s="61" t="n"/>
      <c r="E231" s="60" t="n"/>
      <c r="F231" s="61" t="n"/>
    </row>
    <row r="232">
      <c r="A232" s="60" t="n"/>
      <c r="B232" s="65">
        <f>IF(A232="","",IFERROR(INDEX(Bestand!$B$14:$B$213,MATCH(A232,Bestand!$A$14:$A$213,0)),"ID unbekannt"))</f>
        <v/>
      </c>
      <c r="C232" s="63" t="n"/>
      <c r="D232" s="61" t="n"/>
      <c r="E232" s="60" t="n"/>
      <c r="F232" s="61" t="n"/>
    </row>
    <row r="233">
      <c r="A233" s="60" t="n"/>
      <c r="B233" s="65">
        <f>IF(A233="","",IFERROR(INDEX(Bestand!$B$14:$B$213,MATCH(A233,Bestand!$A$14:$A$213,0)),"ID unbekannt"))</f>
        <v/>
      </c>
      <c r="C233" s="63" t="n"/>
      <c r="D233" s="61" t="n"/>
      <c r="E233" s="60" t="n"/>
      <c r="F233" s="61" t="n"/>
    </row>
    <row r="234">
      <c r="A234" s="60" t="n"/>
      <c r="B234" s="65">
        <f>IF(A234="","",IFERROR(INDEX(Bestand!$B$14:$B$213,MATCH(A234,Bestand!$A$14:$A$213,0)),"ID unbekannt"))</f>
        <v/>
      </c>
      <c r="C234" s="63" t="n"/>
      <c r="D234" s="61" t="n"/>
      <c r="E234" s="60" t="n"/>
      <c r="F234" s="61" t="n"/>
    </row>
    <row r="235">
      <c r="A235" s="60" t="n"/>
      <c r="B235" s="65">
        <f>IF(A235="","",IFERROR(INDEX(Bestand!$B$14:$B$213,MATCH(A235,Bestand!$A$14:$A$213,0)),"ID unbekannt"))</f>
        <v/>
      </c>
      <c r="C235" s="63" t="n"/>
      <c r="D235" s="61" t="n"/>
      <c r="E235" s="60" t="n"/>
      <c r="F235" s="61" t="n"/>
    </row>
    <row r="236">
      <c r="A236" s="60" t="n"/>
      <c r="B236" s="65">
        <f>IF(A236="","",IFERROR(INDEX(Bestand!$B$14:$B$213,MATCH(A236,Bestand!$A$14:$A$213,0)),"ID unbekannt"))</f>
        <v/>
      </c>
      <c r="C236" s="63" t="n"/>
      <c r="D236" s="61" t="n"/>
      <c r="E236" s="60" t="n"/>
      <c r="F236" s="61" t="n"/>
    </row>
    <row r="237">
      <c r="A237" s="60" t="n"/>
      <c r="B237" s="65">
        <f>IF(A237="","",IFERROR(INDEX(Bestand!$B$14:$B$213,MATCH(A237,Bestand!$A$14:$A$213,0)),"ID unbekannt"))</f>
        <v/>
      </c>
      <c r="C237" s="63" t="n"/>
      <c r="D237" s="61" t="n"/>
      <c r="E237" s="60" t="n"/>
      <c r="F237" s="61" t="n"/>
    </row>
    <row r="238">
      <c r="A238" s="60" t="n"/>
      <c r="B238" s="65">
        <f>IF(A238="","",IFERROR(INDEX(Bestand!$B$14:$B$213,MATCH(A238,Bestand!$A$14:$A$213,0)),"ID unbekannt"))</f>
        <v/>
      </c>
      <c r="C238" s="63" t="n"/>
      <c r="D238" s="61" t="n"/>
      <c r="E238" s="60" t="n"/>
      <c r="F238" s="61" t="n"/>
    </row>
    <row r="239">
      <c r="A239" s="60" t="n"/>
      <c r="B239" s="65">
        <f>IF(A239="","",IFERROR(INDEX(Bestand!$B$14:$B$213,MATCH(A239,Bestand!$A$14:$A$213,0)),"ID unbekannt"))</f>
        <v/>
      </c>
      <c r="C239" s="63" t="n"/>
      <c r="D239" s="61" t="n"/>
      <c r="E239" s="60" t="n"/>
      <c r="F239" s="61" t="n"/>
    </row>
    <row r="240">
      <c r="A240" s="60" t="n"/>
      <c r="B240" s="65">
        <f>IF(A240="","",IFERROR(INDEX(Bestand!$B$14:$B$213,MATCH(A240,Bestand!$A$14:$A$213,0)),"ID unbekannt"))</f>
        <v/>
      </c>
      <c r="C240" s="63" t="n"/>
      <c r="D240" s="61" t="n"/>
      <c r="E240" s="60" t="n"/>
      <c r="F240" s="61" t="n"/>
    </row>
    <row r="241">
      <c r="A241" s="60" t="n"/>
      <c r="B241" s="65">
        <f>IF(A241="","",IFERROR(INDEX(Bestand!$B$14:$B$213,MATCH(A241,Bestand!$A$14:$A$213,0)),"ID unbekannt"))</f>
        <v/>
      </c>
      <c r="C241" s="63" t="n"/>
      <c r="D241" s="61" t="n"/>
      <c r="E241" s="60" t="n"/>
      <c r="F241" s="61" t="n"/>
    </row>
    <row r="242">
      <c r="A242" s="60" t="n"/>
      <c r="B242" s="65">
        <f>IF(A242="","",IFERROR(INDEX(Bestand!$B$14:$B$213,MATCH(A242,Bestand!$A$14:$A$213,0)),"ID unbekannt"))</f>
        <v/>
      </c>
      <c r="C242" s="63" t="n"/>
      <c r="D242" s="61" t="n"/>
      <c r="E242" s="60" t="n"/>
      <c r="F242" s="61" t="n"/>
    </row>
    <row r="243">
      <c r="A243" s="60" t="n"/>
      <c r="B243" s="65">
        <f>IF(A243="","",IFERROR(INDEX(Bestand!$B$14:$B$213,MATCH(A243,Bestand!$A$14:$A$213,0)),"ID unbekannt"))</f>
        <v/>
      </c>
      <c r="C243" s="63" t="n"/>
      <c r="D243" s="61" t="n"/>
      <c r="E243" s="60" t="n"/>
      <c r="F243" s="61" t="n"/>
    </row>
    <row r="244">
      <c r="A244" s="60" t="n"/>
      <c r="B244" s="65">
        <f>IF(A244="","",IFERROR(INDEX(Bestand!$B$14:$B$213,MATCH(A244,Bestand!$A$14:$A$213,0)),"ID unbekannt"))</f>
        <v/>
      </c>
      <c r="C244" s="63" t="n"/>
      <c r="D244" s="61" t="n"/>
      <c r="E244" s="60" t="n"/>
      <c r="F244" s="61" t="n"/>
    </row>
    <row r="245">
      <c r="A245" s="60" t="n"/>
      <c r="B245" s="65">
        <f>IF(A245="","",IFERROR(INDEX(Bestand!$B$14:$B$213,MATCH(A245,Bestand!$A$14:$A$213,0)),"ID unbekannt"))</f>
        <v/>
      </c>
      <c r="C245" s="63" t="n"/>
      <c r="D245" s="61" t="n"/>
      <c r="E245" s="60" t="n"/>
      <c r="F245" s="61" t="n"/>
    </row>
    <row r="246">
      <c r="A246" s="60" t="n"/>
      <c r="B246" s="65">
        <f>IF(A246="","",IFERROR(INDEX(Bestand!$B$14:$B$213,MATCH(A246,Bestand!$A$14:$A$213,0)),"ID unbekannt"))</f>
        <v/>
      </c>
      <c r="C246" s="63" t="n"/>
      <c r="D246" s="61" t="n"/>
      <c r="E246" s="60" t="n"/>
      <c r="F246" s="61" t="n"/>
    </row>
    <row r="247">
      <c r="A247" s="60" t="n"/>
      <c r="B247" s="65">
        <f>IF(A247="","",IFERROR(INDEX(Bestand!$B$14:$B$213,MATCH(A247,Bestand!$A$14:$A$213,0)),"ID unbekannt"))</f>
        <v/>
      </c>
      <c r="C247" s="63" t="n"/>
      <c r="D247" s="61" t="n"/>
      <c r="E247" s="60" t="n"/>
      <c r="F247" s="61" t="n"/>
    </row>
    <row r="248">
      <c r="A248" s="60" t="n"/>
      <c r="B248" s="65">
        <f>IF(A248="","",IFERROR(INDEX(Bestand!$B$14:$B$213,MATCH(A248,Bestand!$A$14:$A$213,0)),"ID unbekannt"))</f>
        <v/>
      </c>
      <c r="C248" s="63" t="n"/>
      <c r="D248" s="61" t="n"/>
      <c r="E248" s="60" t="n"/>
      <c r="F248" s="61" t="n"/>
    </row>
    <row r="249">
      <c r="A249" s="60" t="n"/>
      <c r="B249" s="65">
        <f>IF(A249="","",IFERROR(INDEX(Bestand!$B$14:$B$213,MATCH(A249,Bestand!$A$14:$A$213,0)),"ID unbekannt"))</f>
        <v/>
      </c>
      <c r="C249" s="63" t="n"/>
      <c r="D249" s="61" t="n"/>
      <c r="E249" s="60" t="n"/>
      <c r="F249" s="61" t="n"/>
    </row>
    <row r="250">
      <c r="A250" s="60" t="n"/>
      <c r="B250" s="65">
        <f>IF(A250="","",IFERROR(INDEX(Bestand!$B$14:$B$213,MATCH(A250,Bestand!$A$14:$A$213,0)),"ID unbekannt"))</f>
        <v/>
      </c>
      <c r="C250" s="63" t="n"/>
      <c r="D250" s="61" t="n"/>
      <c r="E250" s="60" t="n"/>
      <c r="F250" s="61" t="n"/>
    </row>
    <row r="251">
      <c r="A251" s="60" t="n"/>
      <c r="B251" s="65">
        <f>IF(A251="","",IFERROR(INDEX(Bestand!$B$14:$B$213,MATCH(A251,Bestand!$A$14:$A$213,0)),"ID unbekannt"))</f>
        <v/>
      </c>
      <c r="C251" s="63" t="n"/>
      <c r="D251" s="61" t="n"/>
      <c r="E251" s="60" t="n"/>
      <c r="F251" s="61" t="n"/>
    </row>
    <row r="252">
      <c r="A252" s="60" t="n"/>
      <c r="B252" s="65">
        <f>IF(A252="","",IFERROR(INDEX(Bestand!$B$14:$B$213,MATCH(A252,Bestand!$A$14:$A$213,0)),"ID unbekannt"))</f>
        <v/>
      </c>
      <c r="C252" s="63" t="n"/>
      <c r="D252" s="61" t="n"/>
      <c r="E252" s="60" t="n"/>
      <c r="F252" s="61" t="n"/>
    </row>
    <row r="253">
      <c r="A253" s="60" t="n"/>
      <c r="B253" s="65">
        <f>IF(A253="","",IFERROR(INDEX(Bestand!$B$14:$B$213,MATCH(A253,Bestand!$A$14:$A$213,0)),"ID unbekannt"))</f>
        <v/>
      </c>
      <c r="C253" s="63" t="n"/>
      <c r="D253" s="61" t="n"/>
      <c r="E253" s="60" t="n"/>
      <c r="F253" s="61" t="n"/>
    </row>
    <row r="254">
      <c r="A254" s="60" t="n"/>
      <c r="B254" s="65">
        <f>IF(A254="","",IFERROR(INDEX(Bestand!$B$14:$B$213,MATCH(A254,Bestand!$A$14:$A$213,0)),"ID unbekannt"))</f>
        <v/>
      </c>
      <c r="C254" s="63" t="n"/>
      <c r="D254" s="61" t="n"/>
      <c r="E254" s="60" t="n"/>
      <c r="F254" s="61" t="n"/>
    </row>
    <row r="255">
      <c r="A255" s="60" t="n"/>
      <c r="B255" s="65">
        <f>IF(A255="","",IFERROR(INDEX(Bestand!$B$14:$B$213,MATCH(A255,Bestand!$A$14:$A$213,0)),"ID unbekannt"))</f>
        <v/>
      </c>
      <c r="C255" s="63" t="n"/>
      <c r="D255" s="61" t="n"/>
      <c r="E255" s="60" t="n"/>
      <c r="F255" s="61" t="n"/>
    </row>
    <row r="256">
      <c r="A256" s="60" t="n"/>
      <c r="B256" s="65">
        <f>IF(A256="","",IFERROR(INDEX(Bestand!$B$14:$B$213,MATCH(A256,Bestand!$A$14:$A$213,0)),"ID unbekannt"))</f>
        <v/>
      </c>
      <c r="C256" s="63" t="n"/>
      <c r="D256" s="61" t="n"/>
      <c r="E256" s="60" t="n"/>
      <c r="F256" s="61" t="n"/>
    </row>
    <row r="257">
      <c r="A257" s="60" t="n"/>
      <c r="B257" s="65">
        <f>IF(A257="","",IFERROR(INDEX(Bestand!$B$14:$B$213,MATCH(A257,Bestand!$A$14:$A$213,0)),"ID unbekannt"))</f>
        <v/>
      </c>
      <c r="C257" s="63" t="n"/>
      <c r="D257" s="61" t="n"/>
      <c r="E257" s="60" t="n"/>
      <c r="F257" s="61" t="n"/>
    </row>
    <row r="258">
      <c r="A258" s="60" t="n"/>
      <c r="B258" s="65">
        <f>IF(A258="","",IFERROR(INDEX(Bestand!$B$14:$B$213,MATCH(A258,Bestand!$A$14:$A$213,0)),"ID unbekannt"))</f>
        <v/>
      </c>
      <c r="C258" s="63" t="n"/>
      <c r="D258" s="61" t="n"/>
      <c r="E258" s="60" t="n"/>
      <c r="F258" s="61" t="n"/>
    </row>
    <row r="259">
      <c r="A259" s="60" t="n"/>
      <c r="B259" s="65">
        <f>IF(A259="","",IFERROR(INDEX(Bestand!$B$14:$B$213,MATCH(A259,Bestand!$A$14:$A$213,0)),"ID unbekannt"))</f>
        <v/>
      </c>
      <c r="C259" s="63" t="n"/>
      <c r="D259" s="61" t="n"/>
      <c r="E259" s="60" t="n"/>
      <c r="F259" s="61" t="n"/>
    </row>
    <row r="260">
      <c r="A260" s="60" t="n"/>
      <c r="B260" s="65">
        <f>IF(A260="","",IFERROR(INDEX(Bestand!$B$14:$B$213,MATCH(A260,Bestand!$A$14:$A$213,0)),"ID unbekannt"))</f>
        <v/>
      </c>
      <c r="C260" s="63" t="n"/>
      <c r="D260" s="61" t="n"/>
      <c r="E260" s="60" t="n"/>
      <c r="F260" s="61" t="n"/>
    </row>
    <row r="261">
      <c r="A261" s="60" t="n"/>
      <c r="B261" s="65">
        <f>IF(A261="","",IFERROR(INDEX(Bestand!$B$14:$B$213,MATCH(A261,Bestand!$A$14:$A$213,0)),"ID unbekannt"))</f>
        <v/>
      </c>
      <c r="C261" s="63" t="n"/>
      <c r="D261" s="61" t="n"/>
      <c r="E261" s="60" t="n"/>
      <c r="F261" s="61" t="n"/>
    </row>
    <row r="262">
      <c r="A262" s="60" t="n"/>
      <c r="B262" s="65">
        <f>IF(A262="","",IFERROR(INDEX(Bestand!$B$14:$B$213,MATCH(A262,Bestand!$A$14:$A$213,0)),"ID unbekannt"))</f>
        <v/>
      </c>
      <c r="C262" s="63" t="n"/>
      <c r="D262" s="61" t="n"/>
      <c r="E262" s="60" t="n"/>
      <c r="F262" s="61" t="n"/>
    </row>
    <row r="263">
      <c r="A263" s="60" t="n"/>
      <c r="B263" s="65">
        <f>IF(A263="","",IFERROR(INDEX(Bestand!$B$14:$B$213,MATCH(A263,Bestand!$A$14:$A$213,0)),"ID unbekannt"))</f>
        <v/>
      </c>
      <c r="C263" s="63" t="n"/>
      <c r="D263" s="61" t="n"/>
      <c r="E263" s="60" t="n"/>
      <c r="F263" s="61" t="n"/>
    </row>
    <row r="264">
      <c r="A264" s="60" t="n"/>
      <c r="B264" s="65">
        <f>IF(A264="","",IFERROR(INDEX(Bestand!$B$14:$B$213,MATCH(A264,Bestand!$A$14:$A$213,0)),"ID unbekannt"))</f>
        <v/>
      </c>
      <c r="C264" s="63" t="n"/>
      <c r="D264" s="61" t="n"/>
      <c r="E264" s="60" t="n"/>
      <c r="F264" s="61" t="n"/>
    </row>
    <row r="265">
      <c r="A265" s="60" t="n"/>
      <c r="B265" s="65">
        <f>IF(A265="","",IFERROR(INDEX(Bestand!$B$14:$B$213,MATCH(A265,Bestand!$A$14:$A$213,0)),"ID unbekannt"))</f>
        <v/>
      </c>
      <c r="C265" s="63" t="n"/>
      <c r="D265" s="61" t="n"/>
      <c r="E265" s="60" t="n"/>
      <c r="F265" s="61" t="n"/>
    </row>
    <row r="266">
      <c r="A266" s="60" t="n"/>
      <c r="B266" s="65">
        <f>IF(A266="","",IFERROR(INDEX(Bestand!$B$14:$B$213,MATCH(A266,Bestand!$A$14:$A$213,0)),"ID unbekannt"))</f>
        <v/>
      </c>
      <c r="C266" s="63" t="n"/>
      <c r="D266" s="61" t="n"/>
      <c r="E266" s="60" t="n"/>
      <c r="F266" s="61" t="n"/>
    </row>
    <row r="267">
      <c r="A267" s="60" t="n"/>
      <c r="B267" s="65">
        <f>IF(A267="","",IFERROR(INDEX(Bestand!$B$14:$B$213,MATCH(A267,Bestand!$A$14:$A$213,0)),"ID unbekannt"))</f>
        <v/>
      </c>
      <c r="C267" s="63" t="n"/>
      <c r="D267" s="61" t="n"/>
      <c r="E267" s="60" t="n"/>
      <c r="F267" s="61" t="n"/>
    </row>
    <row r="268">
      <c r="A268" s="60" t="n"/>
      <c r="B268" s="65">
        <f>IF(A268="","",IFERROR(INDEX(Bestand!$B$14:$B$213,MATCH(A268,Bestand!$A$14:$A$213,0)),"ID unbekannt"))</f>
        <v/>
      </c>
      <c r="C268" s="63" t="n"/>
      <c r="D268" s="61" t="n"/>
      <c r="E268" s="60" t="n"/>
      <c r="F268" s="61" t="n"/>
    </row>
    <row r="269">
      <c r="A269" s="60" t="n"/>
      <c r="B269" s="65">
        <f>IF(A269="","",IFERROR(INDEX(Bestand!$B$14:$B$213,MATCH(A269,Bestand!$A$14:$A$213,0)),"ID unbekannt"))</f>
        <v/>
      </c>
      <c r="C269" s="63" t="n"/>
      <c r="D269" s="61" t="n"/>
      <c r="E269" s="60" t="n"/>
      <c r="F269" s="61" t="n"/>
    </row>
    <row r="270">
      <c r="A270" s="60" t="n"/>
      <c r="B270" s="65">
        <f>IF(A270="","",IFERROR(INDEX(Bestand!$B$14:$B$213,MATCH(A270,Bestand!$A$14:$A$213,0)),"ID unbekannt"))</f>
        <v/>
      </c>
      <c r="C270" s="63" t="n"/>
      <c r="D270" s="61" t="n"/>
      <c r="E270" s="60" t="n"/>
      <c r="F270" s="61" t="n"/>
    </row>
    <row r="271">
      <c r="A271" s="60" t="n"/>
      <c r="B271" s="65">
        <f>IF(A271="","",IFERROR(INDEX(Bestand!$B$14:$B$213,MATCH(A271,Bestand!$A$14:$A$213,0)),"ID unbekannt"))</f>
        <v/>
      </c>
      <c r="C271" s="63" t="n"/>
      <c r="D271" s="61" t="n"/>
      <c r="E271" s="60" t="n"/>
      <c r="F271" s="61" t="n"/>
    </row>
    <row r="272">
      <c r="A272" s="60" t="n"/>
      <c r="B272" s="65">
        <f>IF(A272="","",IFERROR(INDEX(Bestand!$B$14:$B$213,MATCH(A272,Bestand!$A$14:$A$213,0)),"ID unbekannt"))</f>
        <v/>
      </c>
      <c r="C272" s="63" t="n"/>
      <c r="D272" s="61" t="n"/>
      <c r="E272" s="60" t="n"/>
      <c r="F272" s="61" t="n"/>
    </row>
    <row r="273">
      <c r="A273" s="60" t="n"/>
      <c r="B273" s="65">
        <f>IF(A273="","",IFERROR(INDEX(Bestand!$B$14:$B$213,MATCH(A273,Bestand!$A$14:$A$213,0)),"ID unbekannt"))</f>
        <v/>
      </c>
      <c r="C273" s="63" t="n"/>
      <c r="D273" s="61" t="n"/>
      <c r="E273" s="60" t="n"/>
      <c r="F273" s="61" t="n"/>
    </row>
    <row r="274">
      <c r="A274" s="60" t="n"/>
      <c r="B274" s="65">
        <f>IF(A274="","",IFERROR(INDEX(Bestand!$B$14:$B$213,MATCH(A274,Bestand!$A$14:$A$213,0)),"ID unbekannt"))</f>
        <v/>
      </c>
      <c r="C274" s="63" t="n"/>
      <c r="D274" s="61" t="n"/>
      <c r="E274" s="60" t="n"/>
      <c r="F274" s="61" t="n"/>
    </row>
    <row r="275">
      <c r="A275" s="60" t="n"/>
      <c r="B275" s="65">
        <f>IF(A275="","",IFERROR(INDEX(Bestand!$B$14:$B$213,MATCH(A275,Bestand!$A$14:$A$213,0)),"ID unbekannt"))</f>
        <v/>
      </c>
      <c r="C275" s="63" t="n"/>
      <c r="D275" s="61" t="n"/>
      <c r="E275" s="60" t="n"/>
      <c r="F275" s="61" t="n"/>
    </row>
    <row r="276">
      <c r="A276" s="60" t="n"/>
      <c r="B276" s="65">
        <f>IF(A276="","",IFERROR(INDEX(Bestand!$B$14:$B$213,MATCH(A276,Bestand!$A$14:$A$213,0)),"ID unbekannt"))</f>
        <v/>
      </c>
      <c r="C276" s="63" t="n"/>
      <c r="D276" s="61" t="n"/>
      <c r="E276" s="60" t="n"/>
      <c r="F276" s="61" t="n"/>
    </row>
    <row r="277">
      <c r="A277" s="60" t="n"/>
      <c r="B277" s="65">
        <f>IF(A277="","",IFERROR(INDEX(Bestand!$B$14:$B$213,MATCH(A277,Bestand!$A$14:$A$213,0)),"ID unbekannt"))</f>
        <v/>
      </c>
      <c r="C277" s="63" t="n"/>
      <c r="D277" s="61" t="n"/>
      <c r="E277" s="60" t="n"/>
      <c r="F277" s="61" t="n"/>
    </row>
    <row r="278">
      <c r="A278" s="60" t="n"/>
      <c r="B278" s="65">
        <f>IF(A278="","",IFERROR(INDEX(Bestand!$B$14:$B$213,MATCH(A278,Bestand!$A$14:$A$213,0)),"ID unbekannt"))</f>
        <v/>
      </c>
      <c r="C278" s="63" t="n"/>
      <c r="D278" s="61" t="n"/>
      <c r="E278" s="60" t="n"/>
      <c r="F278" s="61" t="n"/>
    </row>
    <row r="279">
      <c r="A279" s="60" t="n"/>
      <c r="B279" s="65">
        <f>IF(A279="","",IFERROR(INDEX(Bestand!$B$14:$B$213,MATCH(A279,Bestand!$A$14:$A$213,0)),"ID unbekannt"))</f>
        <v/>
      </c>
      <c r="C279" s="63" t="n"/>
      <c r="D279" s="61" t="n"/>
      <c r="E279" s="60" t="n"/>
      <c r="F279" s="61" t="n"/>
    </row>
    <row r="280">
      <c r="A280" s="60" t="n"/>
      <c r="B280" s="65">
        <f>IF(A280="","",IFERROR(INDEX(Bestand!$B$14:$B$213,MATCH(A280,Bestand!$A$14:$A$213,0)),"ID unbekannt"))</f>
        <v/>
      </c>
      <c r="C280" s="63" t="n"/>
      <c r="D280" s="61" t="n"/>
      <c r="E280" s="60" t="n"/>
      <c r="F280" s="61" t="n"/>
    </row>
    <row r="281">
      <c r="A281" s="60" t="n"/>
      <c r="B281" s="65">
        <f>IF(A281="","",IFERROR(INDEX(Bestand!$B$14:$B$213,MATCH(A281,Bestand!$A$14:$A$213,0)),"ID unbekannt"))</f>
        <v/>
      </c>
      <c r="C281" s="63" t="n"/>
      <c r="D281" s="61" t="n"/>
      <c r="E281" s="60" t="n"/>
      <c r="F281" s="61" t="n"/>
    </row>
    <row r="282">
      <c r="A282" s="60" t="n"/>
      <c r="B282" s="65">
        <f>IF(A282="","",IFERROR(INDEX(Bestand!$B$14:$B$213,MATCH(A282,Bestand!$A$14:$A$213,0)),"ID unbekannt"))</f>
        <v/>
      </c>
      <c r="C282" s="63" t="n"/>
      <c r="D282" s="61" t="n"/>
      <c r="E282" s="60" t="n"/>
      <c r="F282" s="61" t="n"/>
    </row>
    <row r="283">
      <c r="A283" s="60" t="n"/>
      <c r="B283" s="65">
        <f>IF(A283="","",IFERROR(INDEX(Bestand!$B$14:$B$213,MATCH(A283,Bestand!$A$14:$A$213,0)),"ID unbekannt"))</f>
        <v/>
      </c>
      <c r="C283" s="63" t="n"/>
      <c r="D283" s="61" t="n"/>
      <c r="E283" s="60" t="n"/>
      <c r="F283" s="61" t="n"/>
    </row>
    <row r="284">
      <c r="A284" s="60" t="n"/>
      <c r="B284" s="65">
        <f>IF(A284="","",IFERROR(INDEX(Bestand!$B$14:$B$213,MATCH(A284,Bestand!$A$14:$A$213,0)),"ID unbekannt"))</f>
        <v/>
      </c>
      <c r="C284" s="63" t="n"/>
      <c r="D284" s="61" t="n"/>
      <c r="E284" s="60" t="n"/>
      <c r="F284" s="61" t="n"/>
    </row>
    <row r="285">
      <c r="A285" s="60" t="n"/>
      <c r="B285" s="65">
        <f>IF(A285="","",IFERROR(INDEX(Bestand!$B$14:$B$213,MATCH(A285,Bestand!$A$14:$A$213,0)),"ID unbekannt"))</f>
        <v/>
      </c>
      <c r="C285" s="63" t="n"/>
      <c r="D285" s="61" t="n"/>
      <c r="E285" s="60" t="n"/>
      <c r="F285" s="61" t="n"/>
    </row>
    <row r="286">
      <c r="A286" s="60" t="n"/>
      <c r="B286" s="65">
        <f>IF(A286="","",IFERROR(INDEX(Bestand!$B$14:$B$213,MATCH(A286,Bestand!$A$14:$A$213,0)),"ID unbekannt"))</f>
        <v/>
      </c>
      <c r="C286" s="63" t="n"/>
      <c r="D286" s="61" t="n"/>
      <c r="E286" s="60" t="n"/>
      <c r="F286" s="61" t="n"/>
    </row>
    <row r="287">
      <c r="A287" s="60" t="n"/>
      <c r="B287" s="65">
        <f>IF(A287="","",IFERROR(INDEX(Bestand!$B$14:$B$213,MATCH(A287,Bestand!$A$14:$A$213,0)),"ID unbekannt"))</f>
        <v/>
      </c>
      <c r="C287" s="63" t="n"/>
      <c r="D287" s="61" t="n"/>
      <c r="E287" s="60" t="n"/>
      <c r="F287" s="61" t="n"/>
    </row>
    <row r="288">
      <c r="A288" s="60" t="n"/>
      <c r="B288" s="65">
        <f>IF(A288="","",IFERROR(INDEX(Bestand!$B$14:$B$213,MATCH(A288,Bestand!$A$14:$A$213,0)),"ID unbekannt"))</f>
        <v/>
      </c>
      <c r="C288" s="63" t="n"/>
      <c r="D288" s="61" t="n"/>
      <c r="E288" s="60" t="n"/>
      <c r="F288" s="61" t="n"/>
    </row>
    <row r="289">
      <c r="A289" s="60" t="n"/>
      <c r="B289" s="65">
        <f>IF(A289="","",IFERROR(INDEX(Bestand!$B$14:$B$213,MATCH(A289,Bestand!$A$14:$A$213,0)),"ID unbekannt"))</f>
        <v/>
      </c>
      <c r="C289" s="63" t="n"/>
      <c r="D289" s="61" t="n"/>
      <c r="E289" s="60" t="n"/>
      <c r="F289" s="61" t="n"/>
    </row>
    <row r="290">
      <c r="A290" s="60" t="n"/>
      <c r="B290" s="65">
        <f>IF(A290="","",IFERROR(INDEX(Bestand!$B$14:$B$213,MATCH(A290,Bestand!$A$14:$A$213,0)),"ID unbekannt"))</f>
        <v/>
      </c>
      <c r="C290" s="63" t="n"/>
      <c r="D290" s="61" t="n"/>
      <c r="E290" s="60" t="n"/>
      <c r="F290" s="61" t="n"/>
    </row>
    <row r="291">
      <c r="A291" s="60" t="n"/>
      <c r="B291" s="65">
        <f>IF(A291="","",IFERROR(INDEX(Bestand!$B$14:$B$213,MATCH(A291,Bestand!$A$14:$A$213,0)),"ID unbekannt"))</f>
        <v/>
      </c>
      <c r="C291" s="63" t="n"/>
      <c r="D291" s="61" t="n"/>
      <c r="E291" s="60" t="n"/>
      <c r="F291" s="61" t="n"/>
    </row>
    <row r="292">
      <c r="A292" s="60" t="n"/>
      <c r="B292" s="65">
        <f>IF(A292="","",IFERROR(INDEX(Bestand!$B$14:$B$213,MATCH(A292,Bestand!$A$14:$A$213,0)),"ID unbekannt"))</f>
        <v/>
      </c>
      <c r="C292" s="63" t="n"/>
      <c r="D292" s="61" t="n"/>
      <c r="E292" s="60" t="n"/>
      <c r="F292" s="61" t="n"/>
    </row>
    <row r="293">
      <c r="A293" s="60" t="n"/>
      <c r="B293" s="65">
        <f>IF(A293="","",IFERROR(INDEX(Bestand!$B$14:$B$213,MATCH(A293,Bestand!$A$14:$A$213,0)),"ID unbekannt"))</f>
        <v/>
      </c>
      <c r="C293" s="63" t="n"/>
      <c r="D293" s="61" t="n"/>
      <c r="E293" s="60" t="n"/>
      <c r="F293" s="61" t="n"/>
    </row>
    <row r="294">
      <c r="A294" s="60" t="n"/>
      <c r="B294" s="65">
        <f>IF(A294="","",IFERROR(INDEX(Bestand!$B$14:$B$213,MATCH(A294,Bestand!$A$14:$A$213,0)),"ID unbekannt"))</f>
        <v/>
      </c>
      <c r="C294" s="63" t="n"/>
      <c r="D294" s="61" t="n"/>
      <c r="E294" s="60" t="n"/>
      <c r="F294" s="61" t="n"/>
    </row>
    <row r="295">
      <c r="A295" s="60" t="n"/>
      <c r="B295" s="65">
        <f>IF(A295="","",IFERROR(INDEX(Bestand!$B$14:$B$213,MATCH(A295,Bestand!$A$14:$A$213,0)),"ID unbekannt"))</f>
        <v/>
      </c>
      <c r="C295" s="63" t="n"/>
      <c r="D295" s="61" t="n"/>
      <c r="E295" s="60" t="n"/>
      <c r="F295" s="61" t="n"/>
    </row>
    <row r="296">
      <c r="A296" s="60" t="n"/>
      <c r="B296" s="65">
        <f>IF(A296="","",IFERROR(INDEX(Bestand!$B$14:$B$213,MATCH(A296,Bestand!$A$14:$A$213,0)),"ID unbekannt"))</f>
        <v/>
      </c>
      <c r="C296" s="63" t="n"/>
      <c r="D296" s="61" t="n"/>
      <c r="E296" s="60" t="n"/>
      <c r="F296" s="61" t="n"/>
    </row>
    <row r="297">
      <c r="A297" s="60" t="n"/>
      <c r="B297" s="65">
        <f>IF(A297="","",IFERROR(INDEX(Bestand!$B$14:$B$213,MATCH(A297,Bestand!$A$14:$A$213,0)),"ID unbekannt"))</f>
        <v/>
      </c>
      <c r="C297" s="63" t="n"/>
      <c r="D297" s="61" t="n"/>
      <c r="E297" s="60" t="n"/>
      <c r="F297" s="61" t="n"/>
    </row>
    <row r="298">
      <c r="A298" s="60" t="n"/>
      <c r="B298" s="65">
        <f>IF(A298="","",IFERROR(INDEX(Bestand!$B$14:$B$213,MATCH(A298,Bestand!$A$14:$A$213,0)),"ID unbekannt"))</f>
        <v/>
      </c>
      <c r="C298" s="63" t="n"/>
      <c r="D298" s="61" t="n"/>
      <c r="E298" s="60" t="n"/>
      <c r="F298" s="61" t="n"/>
    </row>
    <row r="299">
      <c r="A299" s="60" t="n"/>
      <c r="B299" s="65">
        <f>IF(A299="","",IFERROR(INDEX(Bestand!$B$14:$B$213,MATCH(A299,Bestand!$A$14:$A$213,0)),"ID unbekannt"))</f>
        <v/>
      </c>
      <c r="C299" s="63" t="n"/>
      <c r="D299" s="61" t="n"/>
      <c r="E299" s="60" t="n"/>
      <c r="F299" s="61" t="n"/>
    </row>
    <row r="300">
      <c r="A300" s="60" t="n"/>
      <c r="B300" s="65">
        <f>IF(A300="","",IFERROR(INDEX(Bestand!$B$14:$B$213,MATCH(A300,Bestand!$A$14:$A$213,0)),"ID unbekannt"))</f>
        <v/>
      </c>
      <c r="C300" s="63" t="n"/>
      <c r="D300" s="61" t="n"/>
      <c r="E300" s="60" t="n"/>
      <c r="F300" s="61" t="n"/>
    </row>
    <row r="301">
      <c r="A301" s="60" t="n"/>
      <c r="B301" s="65">
        <f>IF(A301="","",IFERROR(INDEX(Bestand!$B$14:$B$213,MATCH(A301,Bestand!$A$14:$A$213,0)),"ID unbekannt"))</f>
        <v/>
      </c>
      <c r="C301" s="63" t="n"/>
      <c r="D301" s="61" t="n"/>
      <c r="E301" s="60" t="n"/>
      <c r="F301" s="61" t="n"/>
    </row>
    <row r="302">
      <c r="A302" s="60" t="n"/>
      <c r="B302" s="65">
        <f>IF(A302="","",IFERROR(INDEX(Bestand!$B$14:$B$213,MATCH(A302,Bestand!$A$14:$A$213,0)),"ID unbekannt"))</f>
        <v/>
      </c>
      <c r="C302" s="63" t="n"/>
      <c r="D302" s="61" t="n"/>
      <c r="E302" s="60" t="n"/>
      <c r="F302" s="61" t="n"/>
    </row>
    <row r="303">
      <c r="A303" s="60" t="n"/>
      <c r="B303" s="65">
        <f>IF(A303="","",IFERROR(INDEX(Bestand!$B$14:$B$213,MATCH(A303,Bestand!$A$14:$A$213,0)),"ID unbekannt"))</f>
        <v/>
      </c>
      <c r="C303" s="63" t="n"/>
      <c r="D303" s="61" t="n"/>
      <c r="E303" s="60" t="n"/>
      <c r="F303" s="61" t="n"/>
    </row>
    <row r="304">
      <c r="A304" s="60" t="n"/>
      <c r="B304" s="65">
        <f>IF(A304="","",IFERROR(INDEX(Bestand!$B$14:$B$213,MATCH(A304,Bestand!$A$14:$A$213,0)),"ID unbekannt"))</f>
        <v/>
      </c>
      <c r="C304" s="63" t="n"/>
      <c r="D304" s="61" t="n"/>
      <c r="E304" s="60" t="n"/>
      <c r="F304" s="61" t="n"/>
    </row>
    <row r="305">
      <c r="A305" s="60" t="n"/>
      <c r="B305" s="65">
        <f>IF(A305="","",IFERROR(INDEX(Bestand!$B$14:$B$213,MATCH(A305,Bestand!$A$14:$A$213,0)),"ID unbekannt"))</f>
        <v/>
      </c>
      <c r="C305" s="63" t="n"/>
      <c r="D305" s="61" t="n"/>
      <c r="E305" s="60" t="n"/>
      <c r="F305" s="61" t="n"/>
    </row>
    <row r="306">
      <c r="A306" s="60" t="n"/>
      <c r="B306" s="65">
        <f>IF(A306="","",IFERROR(INDEX(Bestand!$B$14:$B$213,MATCH(A306,Bestand!$A$14:$A$213,0)),"ID unbekannt"))</f>
        <v/>
      </c>
      <c r="C306" s="63" t="n"/>
      <c r="D306" s="61" t="n"/>
      <c r="E306" s="60" t="n"/>
      <c r="F306" s="61" t="n"/>
    </row>
    <row r="307">
      <c r="A307" s="60" t="n"/>
      <c r="B307" s="65">
        <f>IF(A307="","",IFERROR(INDEX(Bestand!$B$14:$B$213,MATCH(A307,Bestand!$A$14:$A$213,0)),"ID unbekannt"))</f>
        <v/>
      </c>
      <c r="C307" s="63" t="n"/>
      <c r="D307" s="61" t="n"/>
      <c r="E307" s="60" t="n"/>
      <c r="F307" s="61" t="n"/>
    </row>
    <row r="308">
      <c r="A308" s="60" t="n"/>
      <c r="B308" s="65">
        <f>IF(A308="","",IFERROR(INDEX(Bestand!$B$14:$B$213,MATCH(A308,Bestand!$A$14:$A$213,0)),"ID unbekannt"))</f>
        <v/>
      </c>
      <c r="C308" s="63" t="n"/>
      <c r="D308" s="61" t="n"/>
      <c r="E308" s="60" t="n"/>
      <c r="F308" s="61" t="n"/>
    </row>
    <row r="309">
      <c r="A309" s="60" t="n"/>
      <c r="B309" s="65">
        <f>IF(A309="","",IFERROR(INDEX(Bestand!$B$14:$B$213,MATCH(A309,Bestand!$A$14:$A$213,0)),"ID unbekannt"))</f>
        <v/>
      </c>
      <c r="C309" s="63" t="n"/>
      <c r="D309" s="61" t="n"/>
      <c r="E309" s="60" t="n"/>
      <c r="F309" s="61" t="n"/>
    </row>
    <row r="310">
      <c r="A310" s="60" t="n"/>
      <c r="B310" s="65">
        <f>IF(A310="","",IFERROR(INDEX(Bestand!$B$14:$B$213,MATCH(A310,Bestand!$A$14:$A$213,0)),"ID unbekannt"))</f>
        <v/>
      </c>
      <c r="C310" s="63" t="n"/>
      <c r="D310" s="61" t="n"/>
      <c r="E310" s="60" t="n"/>
      <c r="F310" s="61" t="n"/>
    </row>
    <row r="311">
      <c r="A311" s="60" t="n"/>
      <c r="B311" s="65">
        <f>IF(A311="","",IFERROR(INDEX(Bestand!$B$14:$B$213,MATCH(A311,Bestand!$A$14:$A$213,0)),"ID unbekannt"))</f>
        <v/>
      </c>
      <c r="C311" s="63" t="n"/>
      <c r="D311" s="61" t="n"/>
      <c r="E311" s="60" t="n"/>
      <c r="F311" s="61" t="n"/>
    </row>
    <row r="312">
      <c r="A312" s="60" t="n"/>
      <c r="B312" s="65">
        <f>IF(A312="","",IFERROR(INDEX(Bestand!$B$14:$B$213,MATCH(A312,Bestand!$A$14:$A$213,0)),"ID unbekannt"))</f>
        <v/>
      </c>
      <c r="C312" s="63" t="n"/>
      <c r="D312" s="61" t="n"/>
      <c r="E312" s="60" t="n"/>
      <c r="F312" s="61" t="n"/>
    </row>
    <row r="313">
      <c r="A313" s="60" t="n"/>
      <c r="B313" s="65">
        <f>IF(A313="","",IFERROR(INDEX(Bestand!$B$14:$B$213,MATCH(A313,Bestand!$A$14:$A$213,0)),"ID unbekannt"))</f>
        <v/>
      </c>
      <c r="C313" s="63" t="n"/>
      <c r="D313" s="61" t="n"/>
      <c r="E313" s="60" t="n"/>
      <c r="F313" s="61" t="n"/>
    </row>
    <row r="314">
      <c r="A314" s="60" t="n"/>
      <c r="B314" s="65">
        <f>IF(A314="","",IFERROR(INDEX(Bestand!$B$14:$B$213,MATCH(A314,Bestand!$A$14:$A$213,0)),"ID unbekannt"))</f>
        <v/>
      </c>
      <c r="C314" s="63" t="n"/>
      <c r="D314" s="61" t="n"/>
      <c r="E314" s="60" t="n"/>
      <c r="F314" s="61" t="n"/>
    </row>
    <row r="315">
      <c r="A315" s="60" t="n"/>
      <c r="B315" s="65">
        <f>IF(A315="","",IFERROR(INDEX(Bestand!$B$14:$B$213,MATCH(A315,Bestand!$A$14:$A$213,0)),"ID unbekannt"))</f>
        <v/>
      </c>
      <c r="C315" s="63" t="n"/>
      <c r="D315" s="61" t="n"/>
      <c r="E315" s="60" t="n"/>
      <c r="F315" s="61" t="n"/>
    </row>
    <row r="316">
      <c r="A316" s="60" t="n"/>
      <c r="B316" s="65">
        <f>IF(A316="","",IFERROR(INDEX(Bestand!$B$14:$B$213,MATCH(A316,Bestand!$A$14:$A$213,0)),"ID unbekannt"))</f>
        <v/>
      </c>
      <c r="C316" s="63" t="n"/>
      <c r="D316" s="61" t="n"/>
      <c r="E316" s="60" t="n"/>
      <c r="F316" s="61" t="n"/>
    </row>
    <row r="317">
      <c r="A317" s="60" t="n"/>
      <c r="B317" s="65">
        <f>IF(A317="","",IFERROR(INDEX(Bestand!$B$14:$B$213,MATCH(A317,Bestand!$A$14:$A$213,0)),"ID unbekannt"))</f>
        <v/>
      </c>
      <c r="C317" s="63" t="n"/>
      <c r="D317" s="61" t="n"/>
      <c r="E317" s="60" t="n"/>
      <c r="F317" s="61" t="n"/>
    </row>
    <row r="318">
      <c r="A318" s="60" t="n"/>
      <c r="B318" s="65">
        <f>IF(A318="","",IFERROR(INDEX(Bestand!$B$14:$B$213,MATCH(A318,Bestand!$A$14:$A$213,0)),"ID unbekannt"))</f>
        <v/>
      </c>
      <c r="C318" s="63" t="n"/>
      <c r="D318" s="61" t="n"/>
      <c r="E318" s="60" t="n"/>
      <c r="F318" s="61" t="n"/>
    </row>
    <row r="319">
      <c r="A319" s="60" t="n"/>
      <c r="B319" s="65">
        <f>IF(A319="","",IFERROR(INDEX(Bestand!$B$14:$B$213,MATCH(A319,Bestand!$A$14:$A$213,0)),"ID unbekannt"))</f>
        <v/>
      </c>
      <c r="C319" s="63" t="n"/>
      <c r="D319" s="61" t="n"/>
      <c r="E319" s="60" t="n"/>
      <c r="F319" s="61" t="n"/>
    </row>
    <row r="320">
      <c r="A320" s="60" t="n"/>
      <c r="B320" s="65">
        <f>IF(A320="","",IFERROR(INDEX(Bestand!$B$14:$B$213,MATCH(A320,Bestand!$A$14:$A$213,0)),"ID unbekannt"))</f>
        <v/>
      </c>
      <c r="C320" s="63" t="n"/>
      <c r="D320" s="61" t="n"/>
      <c r="E320" s="60" t="n"/>
      <c r="F320" s="61" t="n"/>
    </row>
    <row r="321">
      <c r="A321" s="60" t="n"/>
      <c r="B321" s="65">
        <f>IF(A321="","",IFERROR(INDEX(Bestand!$B$14:$B$213,MATCH(A321,Bestand!$A$14:$A$213,0)),"ID unbekannt"))</f>
        <v/>
      </c>
      <c r="C321" s="63" t="n"/>
      <c r="D321" s="61" t="n"/>
      <c r="E321" s="60" t="n"/>
      <c r="F321" s="61" t="n"/>
    </row>
    <row r="322">
      <c r="A322" s="60" t="n"/>
      <c r="B322" s="65">
        <f>IF(A322="","",IFERROR(INDEX(Bestand!$B$14:$B$213,MATCH(A322,Bestand!$A$14:$A$213,0)),"ID unbekannt"))</f>
        <v/>
      </c>
      <c r="C322" s="63" t="n"/>
      <c r="D322" s="61" t="n"/>
      <c r="E322" s="60" t="n"/>
      <c r="F322" s="61" t="n"/>
    </row>
    <row r="323">
      <c r="A323" s="60" t="n"/>
      <c r="B323" s="65">
        <f>IF(A323="","",IFERROR(INDEX(Bestand!$B$14:$B$213,MATCH(A323,Bestand!$A$14:$A$213,0)),"ID unbekannt"))</f>
        <v/>
      </c>
      <c r="C323" s="63" t="n"/>
      <c r="D323" s="61" t="n"/>
      <c r="E323" s="60" t="n"/>
      <c r="F323" s="61" t="n"/>
    </row>
    <row r="324">
      <c r="A324" s="60" t="n"/>
      <c r="B324" s="65">
        <f>IF(A324="","",IFERROR(INDEX(Bestand!$B$14:$B$213,MATCH(A324,Bestand!$A$14:$A$213,0)),"ID unbekannt"))</f>
        <v/>
      </c>
      <c r="C324" s="63" t="n"/>
      <c r="D324" s="61" t="n"/>
      <c r="E324" s="60" t="n"/>
      <c r="F324" s="61" t="n"/>
    </row>
    <row r="325">
      <c r="A325" s="60" t="n"/>
      <c r="B325" s="65">
        <f>IF(A325="","",IFERROR(INDEX(Bestand!$B$14:$B$213,MATCH(A325,Bestand!$A$14:$A$213,0)),"ID unbekannt"))</f>
        <v/>
      </c>
      <c r="C325" s="63" t="n"/>
      <c r="D325" s="61" t="n"/>
      <c r="E325" s="60" t="n"/>
      <c r="F325" s="61" t="n"/>
    </row>
    <row r="326">
      <c r="A326" s="60" t="n"/>
      <c r="B326" s="65">
        <f>IF(A326="","",IFERROR(INDEX(Bestand!$B$14:$B$213,MATCH(A326,Bestand!$A$14:$A$213,0)),"ID unbekannt"))</f>
        <v/>
      </c>
      <c r="C326" s="63" t="n"/>
      <c r="D326" s="61" t="n"/>
      <c r="E326" s="60" t="n"/>
      <c r="F326" s="61" t="n"/>
    </row>
    <row r="327">
      <c r="A327" s="60" t="n"/>
      <c r="B327" s="65">
        <f>IF(A327="","",IFERROR(INDEX(Bestand!$B$14:$B$213,MATCH(A327,Bestand!$A$14:$A$213,0)),"ID unbekannt"))</f>
        <v/>
      </c>
      <c r="C327" s="63" t="n"/>
      <c r="D327" s="61" t="n"/>
      <c r="E327" s="60" t="n"/>
      <c r="F327" s="61" t="n"/>
    </row>
    <row r="328">
      <c r="A328" s="60" t="n"/>
      <c r="B328" s="65">
        <f>IF(A328="","",IFERROR(INDEX(Bestand!$B$14:$B$213,MATCH(A328,Bestand!$A$14:$A$213,0)),"ID unbekannt"))</f>
        <v/>
      </c>
      <c r="C328" s="63" t="n"/>
      <c r="D328" s="61" t="n"/>
      <c r="E328" s="60" t="n"/>
      <c r="F328" s="61" t="n"/>
    </row>
    <row r="329">
      <c r="A329" s="60" t="n"/>
      <c r="B329" s="65">
        <f>IF(A329="","",IFERROR(INDEX(Bestand!$B$14:$B$213,MATCH(A329,Bestand!$A$14:$A$213,0)),"ID unbekannt"))</f>
        <v/>
      </c>
      <c r="C329" s="63" t="n"/>
      <c r="D329" s="61" t="n"/>
      <c r="E329" s="60" t="n"/>
      <c r="F329" s="61" t="n"/>
    </row>
    <row r="330">
      <c r="A330" s="60" t="n"/>
      <c r="B330" s="65">
        <f>IF(A330="","",IFERROR(INDEX(Bestand!$B$14:$B$213,MATCH(A330,Bestand!$A$14:$A$213,0)),"ID unbekannt"))</f>
        <v/>
      </c>
      <c r="C330" s="63" t="n"/>
      <c r="D330" s="61" t="n"/>
      <c r="E330" s="60" t="n"/>
      <c r="F330" s="61" t="n"/>
    </row>
    <row r="331">
      <c r="A331" s="60" t="n"/>
      <c r="B331" s="65">
        <f>IF(A331="","",IFERROR(INDEX(Bestand!$B$14:$B$213,MATCH(A331,Bestand!$A$14:$A$213,0)),"ID unbekannt"))</f>
        <v/>
      </c>
      <c r="C331" s="63" t="n"/>
      <c r="D331" s="61" t="n"/>
      <c r="E331" s="60" t="n"/>
      <c r="F331" s="61" t="n"/>
    </row>
    <row r="332">
      <c r="A332" s="60" t="n"/>
      <c r="B332" s="65">
        <f>IF(A332="","",IFERROR(INDEX(Bestand!$B$14:$B$213,MATCH(A332,Bestand!$A$14:$A$213,0)),"ID unbekannt"))</f>
        <v/>
      </c>
      <c r="C332" s="63" t="n"/>
      <c r="D332" s="61" t="n"/>
      <c r="E332" s="60" t="n"/>
      <c r="F332" s="61" t="n"/>
    </row>
    <row r="333">
      <c r="A333" s="60" t="n"/>
      <c r="B333" s="65">
        <f>IF(A333="","",IFERROR(INDEX(Bestand!$B$14:$B$213,MATCH(A333,Bestand!$A$14:$A$213,0)),"ID unbekannt"))</f>
        <v/>
      </c>
      <c r="C333" s="63" t="n"/>
      <c r="D333" s="61" t="n"/>
      <c r="E333" s="60" t="n"/>
      <c r="F333" s="61" t="n"/>
    </row>
    <row r="334">
      <c r="A334" s="60" t="n"/>
      <c r="B334" s="65">
        <f>IF(A334="","",IFERROR(INDEX(Bestand!$B$14:$B$213,MATCH(A334,Bestand!$A$14:$A$213,0)),"ID unbekannt"))</f>
        <v/>
      </c>
      <c r="C334" s="63" t="n"/>
      <c r="D334" s="61" t="n"/>
      <c r="E334" s="60" t="n"/>
      <c r="F334" s="61" t="n"/>
    </row>
    <row r="335">
      <c r="A335" s="60" t="n"/>
      <c r="B335" s="65">
        <f>IF(A335="","",IFERROR(INDEX(Bestand!$B$14:$B$213,MATCH(A335,Bestand!$A$14:$A$213,0)),"ID unbekannt"))</f>
        <v/>
      </c>
      <c r="C335" s="63" t="n"/>
      <c r="D335" s="61" t="n"/>
      <c r="E335" s="60" t="n"/>
      <c r="F335" s="61" t="n"/>
    </row>
    <row r="336">
      <c r="A336" s="60" t="n"/>
      <c r="B336" s="65">
        <f>IF(A336="","",IFERROR(INDEX(Bestand!$B$14:$B$213,MATCH(A336,Bestand!$A$14:$A$213,0)),"ID unbekannt"))</f>
        <v/>
      </c>
      <c r="C336" s="63" t="n"/>
      <c r="D336" s="61" t="n"/>
      <c r="E336" s="60" t="n"/>
      <c r="F336" s="61" t="n"/>
    </row>
    <row r="337">
      <c r="A337" s="60" t="n"/>
      <c r="B337" s="65">
        <f>IF(A337="","",IFERROR(INDEX(Bestand!$B$14:$B$213,MATCH(A337,Bestand!$A$14:$A$213,0)),"ID unbekannt"))</f>
        <v/>
      </c>
      <c r="C337" s="63" t="n"/>
      <c r="D337" s="61" t="n"/>
      <c r="E337" s="60" t="n"/>
      <c r="F337" s="61" t="n"/>
    </row>
    <row r="338">
      <c r="A338" s="60" t="n"/>
      <c r="B338" s="65">
        <f>IF(A338="","",IFERROR(INDEX(Bestand!$B$14:$B$213,MATCH(A338,Bestand!$A$14:$A$213,0)),"ID unbekannt"))</f>
        <v/>
      </c>
      <c r="C338" s="63" t="n"/>
      <c r="D338" s="61" t="n"/>
      <c r="E338" s="60" t="n"/>
      <c r="F338" s="61" t="n"/>
    </row>
    <row r="339">
      <c r="A339" s="60" t="n"/>
      <c r="B339" s="65">
        <f>IF(A339="","",IFERROR(INDEX(Bestand!$B$14:$B$213,MATCH(A339,Bestand!$A$14:$A$213,0)),"ID unbekannt"))</f>
        <v/>
      </c>
      <c r="C339" s="63" t="n"/>
      <c r="D339" s="61" t="n"/>
      <c r="E339" s="60" t="n"/>
      <c r="F339" s="61" t="n"/>
    </row>
    <row r="340">
      <c r="A340" s="60" t="n"/>
      <c r="B340" s="65">
        <f>IF(A340="","",IFERROR(INDEX(Bestand!$B$14:$B$213,MATCH(A340,Bestand!$A$14:$A$213,0)),"ID unbekannt"))</f>
        <v/>
      </c>
      <c r="C340" s="63" t="n"/>
      <c r="D340" s="61" t="n"/>
      <c r="E340" s="60" t="n"/>
      <c r="F340" s="61" t="n"/>
    </row>
    <row r="341">
      <c r="A341" s="60" t="n"/>
      <c r="B341" s="65">
        <f>IF(A341="","",IFERROR(INDEX(Bestand!$B$14:$B$213,MATCH(A341,Bestand!$A$14:$A$213,0)),"ID unbekannt"))</f>
        <v/>
      </c>
      <c r="C341" s="63" t="n"/>
      <c r="D341" s="61" t="n"/>
      <c r="E341" s="60" t="n"/>
      <c r="F341" s="61" t="n"/>
    </row>
    <row r="342">
      <c r="A342" s="60" t="n"/>
      <c r="B342" s="65">
        <f>IF(A342="","",IFERROR(INDEX(Bestand!$B$14:$B$213,MATCH(A342,Bestand!$A$14:$A$213,0)),"ID unbekannt"))</f>
        <v/>
      </c>
      <c r="C342" s="63" t="n"/>
      <c r="D342" s="61" t="n"/>
      <c r="E342" s="60" t="n"/>
      <c r="F342" s="61" t="n"/>
    </row>
    <row r="343">
      <c r="A343" s="60" t="n"/>
      <c r="B343" s="65">
        <f>IF(A343="","",IFERROR(INDEX(Bestand!$B$14:$B$213,MATCH(A343,Bestand!$A$14:$A$213,0)),"ID unbekannt"))</f>
        <v/>
      </c>
      <c r="C343" s="63" t="n"/>
      <c r="D343" s="61" t="n"/>
      <c r="E343" s="60" t="n"/>
      <c r="F343" s="61" t="n"/>
    </row>
    <row r="344">
      <c r="A344" s="60" t="n"/>
      <c r="B344" s="65">
        <f>IF(A344="","",IFERROR(INDEX(Bestand!$B$14:$B$213,MATCH(A344,Bestand!$A$14:$A$213,0)),"ID unbekannt"))</f>
        <v/>
      </c>
      <c r="C344" s="63" t="n"/>
      <c r="D344" s="61" t="n"/>
      <c r="E344" s="60" t="n"/>
      <c r="F344" s="61" t="n"/>
    </row>
    <row r="345">
      <c r="A345" s="60" t="n"/>
      <c r="B345" s="65">
        <f>IF(A345="","",IFERROR(INDEX(Bestand!$B$14:$B$213,MATCH(A345,Bestand!$A$14:$A$213,0)),"ID unbekannt"))</f>
        <v/>
      </c>
      <c r="C345" s="63" t="n"/>
      <c r="D345" s="61" t="n"/>
      <c r="E345" s="60" t="n"/>
      <c r="F345" s="61" t="n"/>
    </row>
    <row r="346">
      <c r="A346" s="60" t="n"/>
      <c r="B346" s="65">
        <f>IF(A346="","",IFERROR(INDEX(Bestand!$B$14:$B$213,MATCH(A346,Bestand!$A$14:$A$213,0)),"ID unbekannt"))</f>
        <v/>
      </c>
      <c r="C346" s="63" t="n"/>
      <c r="D346" s="61" t="n"/>
      <c r="E346" s="60" t="n"/>
      <c r="F346" s="61" t="n"/>
    </row>
    <row r="347">
      <c r="A347" s="60" t="n"/>
      <c r="B347" s="65">
        <f>IF(A347="","",IFERROR(INDEX(Bestand!$B$14:$B$213,MATCH(A347,Bestand!$A$14:$A$213,0)),"ID unbekannt"))</f>
        <v/>
      </c>
      <c r="C347" s="63" t="n"/>
      <c r="D347" s="61" t="n"/>
      <c r="E347" s="60" t="n"/>
      <c r="F347" s="61" t="n"/>
    </row>
    <row r="348">
      <c r="A348" s="60" t="n"/>
      <c r="B348" s="65">
        <f>IF(A348="","",IFERROR(INDEX(Bestand!$B$14:$B$213,MATCH(A348,Bestand!$A$14:$A$213,0)),"ID unbekannt"))</f>
        <v/>
      </c>
      <c r="C348" s="63" t="n"/>
      <c r="D348" s="61" t="n"/>
      <c r="E348" s="60" t="n"/>
      <c r="F348" s="61" t="n"/>
    </row>
    <row r="349">
      <c r="A349" s="60" t="n"/>
      <c r="B349" s="65">
        <f>IF(A349="","",IFERROR(INDEX(Bestand!$B$14:$B$213,MATCH(A349,Bestand!$A$14:$A$213,0)),"ID unbekannt"))</f>
        <v/>
      </c>
      <c r="C349" s="63" t="n"/>
      <c r="D349" s="61" t="n"/>
      <c r="E349" s="60" t="n"/>
      <c r="F349" s="61" t="n"/>
    </row>
    <row r="350">
      <c r="A350" s="60" t="n"/>
      <c r="B350" s="65">
        <f>IF(A350="","",IFERROR(INDEX(Bestand!$B$14:$B$213,MATCH(A350,Bestand!$A$14:$A$213,0)),"ID unbekannt"))</f>
        <v/>
      </c>
      <c r="C350" s="63" t="n"/>
      <c r="D350" s="61" t="n"/>
      <c r="E350" s="60" t="n"/>
      <c r="F350" s="61" t="n"/>
    </row>
    <row r="351">
      <c r="A351" s="60" t="n"/>
      <c r="B351" s="65">
        <f>IF(A351="","",IFERROR(INDEX(Bestand!$B$14:$B$213,MATCH(A351,Bestand!$A$14:$A$213,0)),"ID unbekannt"))</f>
        <v/>
      </c>
      <c r="C351" s="63" t="n"/>
      <c r="D351" s="61" t="n"/>
      <c r="E351" s="60" t="n"/>
      <c r="F351" s="61" t="n"/>
    </row>
    <row r="352">
      <c r="A352" s="60" t="n"/>
      <c r="B352" s="65">
        <f>IF(A352="","",IFERROR(INDEX(Bestand!$B$14:$B$213,MATCH(A352,Bestand!$A$14:$A$213,0)),"ID unbekannt"))</f>
        <v/>
      </c>
      <c r="C352" s="63" t="n"/>
      <c r="D352" s="61" t="n"/>
      <c r="E352" s="60" t="n"/>
      <c r="F352" s="61" t="n"/>
    </row>
    <row r="353">
      <c r="A353" s="60" t="n"/>
      <c r="B353" s="65">
        <f>IF(A353="","",IFERROR(INDEX(Bestand!$B$14:$B$213,MATCH(A353,Bestand!$A$14:$A$213,0)),"ID unbekannt"))</f>
        <v/>
      </c>
      <c r="C353" s="63" t="n"/>
      <c r="D353" s="61" t="n"/>
      <c r="E353" s="60" t="n"/>
      <c r="F353" s="61" t="n"/>
    </row>
    <row r="354">
      <c r="A354" s="60" t="n"/>
      <c r="B354" s="65">
        <f>IF(A354="","",IFERROR(INDEX(Bestand!$B$14:$B$213,MATCH(A354,Bestand!$A$14:$A$213,0)),"ID unbekannt"))</f>
        <v/>
      </c>
      <c r="C354" s="63" t="n"/>
      <c r="D354" s="61" t="n"/>
      <c r="E354" s="60" t="n"/>
      <c r="F354" s="61" t="n"/>
    </row>
    <row r="355">
      <c r="A355" s="60" t="n"/>
      <c r="B355" s="65">
        <f>IF(A355="","",IFERROR(INDEX(Bestand!$B$14:$B$213,MATCH(A355,Bestand!$A$14:$A$213,0)),"ID unbekannt"))</f>
        <v/>
      </c>
      <c r="C355" s="63" t="n"/>
      <c r="D355" s="61" t="n"/>
      <c r="E355" s="60" t="n"/>
      <c r="F355" s="61" t="n"/>
    </row>
    <row r="356">
      <c r="A356" s="60" t="n"/>
      <c r="B356" s="65">
        <f>IF(A356="","",IFERROR(INDEX(Bestand!$B$14:$B$213,MATCH(A356,Bestand!$A$14:$A$213,0)),"ID unbekannt"))</f>
        <v/>
      </c>
      <c r="C356" s="63" t="n"/>
      <c r="D356" s="61" t="n"/>
      <c r="E356" s="60" t="n"/>
      <c r="F356" s="61" t="n"/>
    </row>
    <row r="357">
      <c r="A357" s="60" t="n"/>
      <c r="B357" s="65">
        <f>IF(A357="","",IFERROR(INDEX(Bestand!$B$14:$B$213,MATCH(A357,Bestand!$A$14:$A$213,0)),"ID unbekannt"))</f>
        <v/>
      </c>
      <c r="C357" s="63" t="n"/>
      <c r="D357" s="61" t="n"/>
      <c r="E357" s="60" t="n"/>
      <c r="F357" s="61" t="n"/>
    </row>
    <row r="358">
      <c r="A358" s="60" t="n"/>
      <c r="B358" s="65">
        <f>IF(A358="","",IFERROR(INDEX(Bestand!$B$14:$B$213,MATCH(A358,Bestand!$A$14:$A$213,0)),"ID unbekannt"))</f>
        <v/>
      </c>
      <c r="C358" s="63" t="n"/>
      <c r="D358" s="61" t="n"/>
      <c r="E358" s="60" t="n"/>
      <c r="F358" s="61" t="n"/>
    </row>
    <row r="359">
      <c r="A359" s="60" t="n"/>
      <c r="B359" s="65">
        <f>IF(A359="","",IFERROR(INDEX(Bestand!$B$14:$B$213,MATCH(A359,Bestand!$A$14:$A$213,0)),"ID unbekannt"))</f>
        <v/>
      </c>
      <c r="C359" s="63" t="n"/>
      <c r="D359" s="61" t="n"/>
      <c r="E359" s="60" t="n"/>
      <c r="F359" s="61" t="n"/>
    </row>
    <row r="360">
      <c r="A360" s="60" t="n"/>
      <c r="B360" s="65">
        <f>IF(A360="","",IFERROR(INDEX(Bestand!$B$14:$B$213,MATCH(A360,Bestand!$A$14:$A$213,0)),"ID unbekannt"))</f>
        <v/>
      </c>
      <c r="C360" s="63" t="n"/>
      <c r="D360" s="61" t="n"/>
      <c r="E360" s="60" t="n"/>
      <c r="F360" s="61" t="n"/>
    </row>
    <row r="361">
      <c r="A361" s="60" t="n"/>
      <c r="B361" s="65">
        <f>IF(A361="","",IFERROR(INDEX(Bestand!$B$14:$B$213,MATCH(A361,Bestand!$A$14:$A$213,0)),"ID unbekannt"))</f>
        <v/>
      </c>
      <c r="C361" s="63" t="n"/>
      <c r="D361" s="61" t="n"/>
      <c r="E361" s="60" t="n"/>
      <c r="F361" s="61" t="n"/>
    </row>
    <row r="362">
      <c r="A362" s="60" t="n"/>
      <c r="B362" s="65">
        <f>IF(A362="","",IFERROR(INDEX(Bestand!$B$14:$B$213,MATCH(A362,Bestand!$A$14:$A$213,0)),"ID unbekannt"))</f>
        <v/>
      </c>
      <c r="C362" s="63" t="n"/>
      <c r="D362" s="61" t="n"/>
      <c r="E362" s="60" t="n"/>
      <c r="F362" s="61" t="n"/>
    </row>
    <row r="363">
      <c r="A363" s="60" t="n"/>
      <c r="B363" s="65">
        <f>IF(A363="","",IFERROR(INDEX(Bestand!$B$14:$B$213,MATCH(A363,Bestand!$A$14:$A$213,0)),"ID unbekannt"))</f>
        <v/>
      </c>
      <c r="C363" s="63" t="n"/>
      <c r="D363" s="61" t="n"/>
      <c r="E363" s="60" t="n"/>
      <c r="F363" s="61" t="n"/>
    </row>
    <row r="364">
      <c r="A364" s="60" t="n"/>
      <c r="B364" s="65">
        <f>IF(A364="","",IFERROR(INDEX(Bestand!$B$14:$B$213,MATCH(A364,Bestand!$A$14:$A$213,0)),"ID unbekannt"))</f>
        <v/>
      </c>
      <c r="C364" s="63" t="n"/>
      <c r="D364" s="61" t="n"/>
      <c r="E364" s="60" t="n"/>
      <c r="F364" s="61" t="n"/>
    </row>
    <row r="365">
      <c r="A365" s="60" t="n"/>
      <c r="B365" s="65">
        <f>IF(A365="","",IFERROR(INDEX(Bestand!$B$14:$B$213,MATCH(A365,Bestand!$A$14:$A$213,0)),"ID unbekannt"))</f>
        <v/>
      </c>
      <c r="C365" s="63" t="n"/>
      <c r="D365" s="61" t="n"/>
      <c r="E365" s="60" t="n"/>
      <c r="F365" s="61" t="n"/>
    </row>
    <row r="366">
      <c r="A366" s="60" t="n"/>
      <c r="B366" s="65">
        <f>IF(A366="","",IFERROR(INDEX(Bestand!$B$14:$B$213,MATCH(A366,Bestand!$A$14:$A$213,0)),"ID unbekannt"))</f>
        <v/>
      </c>
      <c r="C366" s="63" t="n"/>
      <c r="D366" s="61" t="n"/>
      <c r="E366" s="60" t="n"/>
      <c r="F366" s="61" t="n"/>
    </row>
    <row r="367">
      <c r="A367" s="60" t="n"/>
      <c r="B367" s="65">
        <f>IF(A367="","",IFERROR(INDEX(Bestand!$B$14:$B$213,MATCH(A367,Bestand!$A$14:$A$213,0)),"ID unbekannt"))</f>
        <v/>
      </c>
      <c r="C367" s="63" t="n"/>
      <c r="D367" s="61" t="n"/>
      <c r="E367" s="60" t="n"/>
      <c r="F367" s="61" t="n"/>
    </row>
    <row r="368">
      <c r="A368" s="60" t="n"/>
      <c r="B368" s="65">
        <f>IF(A368="","",IFERROR(INDEX(Bestand!$B$14:$B$213,MATCH(A368,Bestand!$A$14:$A$213,0)),"ID unbekannt"))</f>
        <v/>
      </c>
      <c r="C368" s="63" t="n"/>
      <c r="D368" s="61" t="n"/>
      <c r="E368" s="60" t="n"/>
      <c r="F368" s="61" t="n"/>
    </row>
    <row r="369">
      <c r="A369" s="60" t="n"/>
      <c r="B369" s="65">
        <f>IF(A369="","",IFERROR(INDEX(Bestand!$B$14:$B$213,MATCH(A369,Bestand!$A$14:$A$213,0)),"ID unbekannt"))</f>
        <v/>
      </c>
      <c r="C369" s="63" t="n"/>
      <c r="D369" s="61" t="n"/>
      <c r="E369" s="60" t="n"/>
      <c r="F369" s="61" t="n"/>
    </row>
    <row r="370">
      <c r="A370" s="60" t="n"/>
      <c r="B370" s="65">
        <f>IF(A370="","",IFERROR(INDEX(Bestand!$B$14:$B$213,MATCH(A370,Bestand!$A$14:$A$213,0)),"ID unbekannt"))</f>
        <v/>
      </c>
      <c r="C370" s="63" t="n"/>
      <c r="D370" s="61" t="n"/>
      <c r="E370" s="60" t="n"/>
      <c r="F370" s="61" t="n"/>
    </row>
    <row r="371">
      <c r="A371" s="60" t="n"/>
      <c r="B371" s="65">
        <f>IF(A371="","",IFERROR(INDEX(Bestand!$B$14:$B$213,MATCH(A371,Bestand!$A$14:$A$213,0)),"ID unbekannt"))</f>
        <v/>
      </c>
      <c r="C371" s="63" t="n"/>
      <c r="D371" s="61" t="n"/>
      <c r="E371" s="60" t="n"/>
      <c r="F371" s="61" t="n"/>
    </row>
    <row r="372">
      <c r="A372" s="60" t="n"/>
      <c r="B372" s="65">
        <f>IF(A372="","",IFERROR(INDEX(Bestand!$B$14:$B$213,MATCH(A372,Bestand!$A$14:$A$213,0)),"ID unbekannt"))</f>
        <v/>
      </c>
      <c r="C372" s="63" t="n"/>
      <c r="D372" s="61" t="n"/>
      <c r="E372" s="60" t="n"/>
      <c r="F372" s="61" t="n"/>
    </row>
    <row r="373">
      <c r="A373" s="60" t="n"/>
      <c r="B373" s="65">
        <f>IF(A373="","",IFERROR(INDEX(Bestand!$B$14:$B$213,MATCH(A373,Bestand!$A$14:$A$213,0)),"ID unbekannt"))</f>
        <v/>
      </c>
      <c r="C373" s="63" t="n"/>
      <c r="D373" s="61" t="n"/>
      <c r="E373" s="60" t="n"/>
      <c r="F373" s="61" t="n"/>
    </row>
    <row r="374">
      <c r="A374" s="60" t="n"/>
      <c r="B374" s="65">
        <f>IF(A374="","",IFERROR(INDEX(Bestand!$B$14:$B$213,MATCH(A374,Bestand!$A$14:$A$213,0)),"ID unbekannt"))</f>
        <v/>
      </c>
      <c r="C374" s="63" t="n"/>
      <c r="D374" s="61" t="n"/>
      <c r="E374" s="60" t="n"/>
      <c r="F374" s="61" t="n"/>
    </row>
    <row r="375">
      <c r="A375" s="60" t="n"/>
      <c r="B375" s="65">
        <f>IF(A375="","",IFERROR(INDEX(Bestand!$B$14:$B$213,MATCH(A375,Bestand!$A$14:$A$213,0)),"ID unbekannt"))</f>
        <v/>
      </c>
      <c r="C375" s="63" t="n"/>
      <c r="D375" s="61" t="n"/>
      <c r="E375" s="60" t="n"/>
      <c r="F375" s="61" t="n"/>
    </row>
    <row r="376">
      <c r="A376" s="60" t="n"/>
      <c r="B376" s="65">
        <f>IF(A376="","",IFERROR(INDEX(Bestand!$B$14:$B$213,MATCH(A376,Bestand!$A$14:$A$213,0)),"ID unbekannt"))</f>
        <v/>
      </c>
      <c r="C376" s="63" t="n"/>
      <c r="D376" s="61" t="n"/>
      <c r="E376" s="60" t="n"/>
      <c r="F376" s="61" t="n"/>
    </row>
    <row r="377">
      <c r="A377" s="60" t="n"/>
      <c r="B377" s="65">
        <f>IF(A377="","",IFERROR(INDEX(Bestand!$B$14:$B$213,MATCH(A377,Bestand!$A$14:$A$213,0)),"ID unbekannt"))</f>
        <v/>
      </c>
      <c r="C377" s="63" t="n"/>
      <c r="D377" s="61" t="n"/>
      <c r="E377" s="60" t="n"/>
      <c r="F377" s="61" t="n"/>
    </row>
    <row r="378">
      <c r="A378" s="60" t="n"/>
      <c r="B378" s="65">
        <f>IF(A378="","",IFERROR(INDEX(Bestand!$B$14:$B$213,MATCH(A378,Bestand!$A$14:$A$213,0)),"ID unbekannt"))</f>
        <v/>
      </c>
      <c r="C378" s="63" t="n"/>
      <c r="D378" s="61" t="n"/>
      <c r="E378" s="60" t="n"/>
      <c r="F378" s="61" t="n"/>
    </row>
    <row r="379">
      <c r="A379" s="60" t="n"/>
      <c r="B379" s="65">
        <f>IF(A379="","",IFERROR(INDEX(Bestand!$B$14:$B$213,MATCH(A379,Bestand!$A$14:$A$213,0)),"ID unbekannt"))</f>
        <v/>
      </c>
      <c r="C379" s="63" t="n"/>
      <c r="D379" s="61" t="n"/>
      <c r="E379" s="60" t="n"/>
      <c r="F379" s="61" t="n"/>
    </row>
    <row r="380">
      <c r="A380" s="60" t="n"/>
      <c r="B380" s="65">
        <f>IF(A380="","",IFERROR(INDEX(Bestand!$B$14:$B$213,MATCH(A380,Bestand!$A$14:$A$213,0)),"ID unbekannt"))</f>
        <v/>
      </c>
      <c r="C380" s="63" t="n"/>
      <c r="D380" s="61" t="n"/>
      <c r="E380" s="60" t="n"/>
      <c r="F380" s="61" t="n"/>
    </row>
    <row r="381">
      <c r="A381" s="60" t="n"/>
      <c r="B381" s="65">
        <f>IF(A381="","",IFERROR(INDEX(Bestand!$B$14:$B$213,MATCH(A381,Bestand!$A$14:$A$213,0)),"ID unbekannt"))</f>
        <v/>
      </c>
      <c r="C381" s="63" t="n"/>
      <c r="D381" s="61" t="n"/>
      <c r="E381" s="60" t="n"/>
      <c r="F381" s="61" t="n"/>
    </row>
    <row r="382">
      <c r="A382" s="60" t="n"/>
      <c r="B382" s="65">
        <f>IF(A382="","",IFERROR(INDEX(Bestand!$B$14:$B$213,MATCH(A382,Bestand!$A$14:$A$213,0)),"ID unbekannt"))</f>
        <v/>
      </c>
      <c r="C382" s="63" t="n"/>
      <c r="D382" s="61" t="n"/>
      <c r="E382" s="60" t="n"/>
      <c r="F382" s="61" t="n"/>
    </row>
    <row r="383">
      <c r="A383" s="60" t="n"/>
      <c r="B383" s="65">
        <f>IF(A383="","",IFERROR(INDEX(Bestand!$B$14:$B$213,MATCH(A383,Bestand!$A$14:$A$213,0)),"ID unbekannt"))</f>
        <v/>
      </c>
      <c r="C383" s="63" t="n"/>
      <c r="D383" s="61" t="n"/>
      <c r="E383" s="60" t="n"/>
      <c r="F383" s="61" t="n"/>
    </row>
    <row r="384">
      <c r="A384" s="60" t="n"/>
      <c r="B384" s="65">
        <f>IF(A384="","",IFERROR(INDEX(Bestand!$B$14:$B$213,MATCH(A384,Bestand!$A$14:$A$213,0)),"ID unbekannt"))</f>
        <v/>
      </c>
      <c r="C384" s="63" t="n"/>
      <c r="D384" s="61" t="n"/>
      <c r="E384" s="60" t="n"/>
      <c r="F384" s="61" t="n"/>
    </row>
    <row r="385">
      <c r="A385" s="60" t="n"/>
      <c r="B385" s="65">
        <f>IF(A385="","",IFERROR(INDEX(Bestand!$B$14:$B$213,MATCH(A385,Bestand!$A$14:$A$213,0)),"ID unbekannt"))</f>
        <v/>
      </c>
      <c r="C385" s="63" t="n"/>
      <c r="D385" s="61" t="n"/>
      <c r="E385" s="60" t="n"/>
      <c r="F385" s="61" t="n"/>
    </row>
    <row r="386">
      <c r="A386" s="60" t="n"/>
      <c r="B386" s="65">
        <f>IF(A386="","",IFERROR(INDEX(Bestand!$B$14:$B$213,MATCH(A386,Bestand!$A$14:$A$213,0)),"ID unbekannt"))</f>
        <v/>
      </c>
      <c r="C386" s="63" t="n"/>
      <c r="D386" s="61" t="n"/>
      <c r="E386" s="60" t="n"/>
      <c r="F386" s="61" t="n"/>
    </row>
    <row r="387">
      <c r="A387" s="60" t="n"/>
      <c r="B387" s="65">
        <f>IF(A387="","",IFERROR(INDEX(Bestand!$B$14:$B$213,MATCH(A387,Bestand!$A$14:$A$213,0)),"ID unbekannt"))</f>
        <v/>
      </c>
      <c r="C387" s="63" t="n"/>
      <c r="D387" s="61" t="n"/>
      <c r="E387" s="60" t="n"/>
      <c r="F387" s="61" t="n"/>
    </row>
    <row r="388">
      <c r="A388" s="60" t="n"/>
      <c r="B388" s="65">
        <f>IF(A388="","",IFERROR(INDEX(Bestand!$B$14:$B$213,MATCH(A388,Bestand!$A$14:$A$213,0)),"ID unbekannt"))</f>
        <v/>
      </c>
      <c r="C388" s="63" t="n"/>
      <c r="D388" s="61" t="n"/>
      <c r="E388" s="60" t="n"/>
      <c r="F388" s="61" t="n"/>
    </row>
    <row r="389">
      <c r="A389" s="60" t="n"/>
      <c r="B389" s="65">
        <f>IF(A389="","",IFERROR(INDEX(Bestand!$B$14:$B$213,MATCH(A389,Bestand!$A$14:$A$213,0)),"ID unbekannt"))</f>
        <v/>
      </c>
      <c r="C389" s="63" t="n"/>
      <c r="D389" s="61" t="n"/>
      <c r="E389" s="60" t="n"/>
      <c r="F389" s="61" t="n"/>
    </row>
    <row r="390">
      <c r="A390" s="60" t="n"/>
      <c r="B390" s="65">
        <f>IF(A390="","",IFERROR(INDEX(Bestand!$B$14:$B$213,MATCH(A390,Bestand!$A$14:$A$213,0)),"ID unbekannt"))</f>
        <v/>
      </c>
      <c r="C390" s="63" t="n"/>
      <c r="D390" s="61" t="n"/>
      <c r="E390" s="60" t="n"/>
      <c r="F390" s="61" t="n"/>
    </row>
    <row r="391">
      <c r="A391" s="60" t="n"/>
      <c r="B391" s="65">
        <f>IF(A391="","",IFERROR(INDEX(Bestand!$B$14:$B$213,MATCH(A391,Bestand!$A$14:$A$213,0)),"ID unbekannt"))</f>
        <v/>
      </c>
      <c r="C391" s="63" t="n"/>
      <c r="D391" s="61" t="n"/>
      <c r="E391" s="60" t="n"/>
      <c r="F391" s="61" t="n"/>
    </row>
    <row r="392">
      <c r="A392" s="60" t="n"/>
      <c r="B392" s="65">
        <f>IF(A392="","",IFERROR(INDEX(Bestand!$B$14:$B$213,MATCH(A392,Bestand!$A$14:$A$213,0)),"ID unbekannt"))</f>
        <v/>
      </c>
      <c r="C392" s="63" t="n"/>
      <c r="D392" s="61" t="n"/>
      <c r="E392" s="60" t="n"/>
      <c r="F392" s="61" t="n"/>
    </row>
    <row r="393">
      <c r="A393" s="60" t="n"/>
      <c r="B393" s="65">
        <f>IF(A393="","",IFERROR(INDEX(Bestand!$B$14:$B$213,MATCH(A393,Bestand!$A$14:$A$213,0)),"ID unbekannt"))</f>
        <v/>
      </c>
      <c r="C393" s="63" t="n"/>
      <c r="D393" s="61" t="n"/>
      <c r="E393" s="60" t="n"/>
      <c r="F393" s="61" t="n"/>
    </row>
    <row r="394">
      <c r="A394" s="60" t="n"/>
      <c r="B394" s="65">
        <f>IF(A394="","",IFERROR(INDEX(Bestand!$B$14:$B$213,MATCH(A394,Bestand!$A$14:$A$213,0)),"ID unbekannt"))</f>
        <v/>
      </c>
      <c r="C394" s="63" t="n"/>
      <c r="D394" s="61" t="n"/>
      <c r="E394" s="60" t="n"/>
      <c r="F394" s="61" t="n"/>
    </row>
    <row r="395">
      <c r="A395" s="60" t="n"/>
      <c r="B395" s="65">
        <f>IF(A395="","",IFERROR(INDEX(Bestand!$B$14:$B$213,MATCH(A395,Bestand!$A$14:$A$213,0)),"ID unbekannt"))</f>
        <v/>
      </c>
      <c r="C395" s="63" t="n"/>
      <c r="D395" s="61" t="n"/>
      <c r="E395" s="60" t="n"/>
      <c r="F395" s="61" t="n"/>
    </row>
    <row r="396">
      <c r="A396" s="60" t="n"/>
      <c r="B396" s="65">
        <f>IF(A396="","",IFERROR(INDEX(Bestand!$B$14:$B$213,MATCH(A396,Bestand!$A$14:$A$213,0)),"ID unbekannt"))</f>
        <v/>
      </c>
      <c r="C396" s="63" t="n"/>
      <c r="D396" s="61" t="n"/>
      <c r="E396" s="60" t="n"/>
      <c r="F396" s="61" t="n"/>
    </row>
    <row r="397">
      <c r="A397" s="60" t="n"/>
      <c r="B397" s="65">
        <f>IF(A397="","",IFERROR(INDEX(Bestand!$B$14:$B$213,MATCH(A397,Bestand!$A$14:$A$213,0)),"ID unbekannt"))</f>
        <v/>
      </c>
      <c r="C397" s="63" t="n"/>
      <c r="D397" s="61" t="n"/>
      <c r="E397" s="60" t="n"/>
      <c r="F397" s="61" t="n"/>
    </row>
    <row r="398">
      <c r="A398" s="60" t="n"/>
      <c r="B398" s="65">
        <f>IF(A398="","",IFERROR(INDEX(Bestand!$B$14:$B$213,MATCH(A398,Bestand!$A$14:$A$213,0)),"ID unbekannt"))</f>
        <v/>
      </c>
      <c r="C398" s="63" t="n"/>
      <c r="D398" s="61" t="n"/>
      <c r="E398" s="60" t="n"/>
      <c r="F398" s="61" t="n"/>
    </row>
    <row r="399">
      <c r="A399" s="60" t="n"/>
      <c r="B399" s="65">
        <f>IF(A399="","",IFERROR(INDEX(Bestand!$B$14:$B$213,MATCH(A399,Bestand!$A$14:$A$213,0)),"ID unbekannt"))</f>
        <v/>
      </c>
      <c r="C399" s="63" t="n"/>
      <c r="D399" s="61" t="n"/>
      <c r="E399" s="60" t="n"/>
      <c r="F399" s="61" t="n"/>
    </row>
    <row r="400">
      <c r="A400" s="60" t="n"/>
      <c r="B400" s="65">
        <f>IF(A400="","",IFERROR(INDEX(Bestand!$B$14:$B$213,MATCH(A400,Bestand!$A$14:$A$213,0)),"ID unbekannt"))</f>
        <v/>
      </c>
      <c r="C400" s="63" t="n"/>
      <c r="D400" s="61" t="n"/>
      <c r="E400" s="60" t="n"/>
      <c r="F400" s="61" t="n"/>
    </row>
    <row r="401">
      <c r="A401" s="60" t="n"/>
      <c r="B401" s="65">
        <f>IF(A401="","",IFERROR(INDEX(Bestand!$B$14:$B$213,MATCH(A401,Bestand!$A$14:$A$213,0)),"ID unbekannt"))</f>
        <v/>
      </c>
      <c r="C401" s="63" t="n"/>
      <c r="D401" s="61" t="n"/>
      <c r="E401" s="60" t="n"/>
      <c r="F401" s="61" t="n"/>
    </row>
    <row r="402">
      <c r="A402" s="60" t="n"/>
      <c r="B402" s="65">
        <f>IF(A402="","",IFERROR(INDEX(Bestand!$B$14:$B$213,MATCH(A402,Bestand!$A$14:$A$213,0)),"ID unbekannt"))</f>
        <v/>
      </c>
      <c r="C402" s="63" t="n"/>
      <c r="D402" s="61" t="n"/>
      <c r="E402" s="60" t="n"/>
      <c r="F402" s="61" t="n"/>
    </row>
    <row r="403">
      <c r="A403" s="60" t="n"/>
      <c r="B403" s="65">
        <f>IF(A403="","",IFERROR(INDEX(Bestand!$B$14:$B$213,MATCH(A403,Bestand!$A$14:$A$213,0)),"ID unbekannt"))</f>
        <v/>
      </c>
      <c r="C403" s="63" t="n"/>
      <c r="D403" s="61" t="n"/>
      <c r="E403" s="60" t="n"/>
      <c r="F403" s="61" t="n"/>
    </row>
    <row r="404">
      <c r="A404" s="60" t="n"/>
      <c r="B404" s="65">
        <f>IF(A404="","",IFERROR(INDEX(Bestand!$B$14:$B$213,MATCH(A404,Bestand!$A$14:$A$213,0)),"ID unbekannt"))</f>
        <v/>
      </c>
      <c r="C404" s="63" t="n"/>
      <c r="D404" s="61" t="n"/>
      <c r="E404" s="60" t="n"/>
      <c r="F404" s="61" t="n"/>
    </row>
    <row r="405">
      <c r="A405" s="60" t="n"/>
      <c r="B405" s="65">
        <f>IF(A405="","",IFERROR(INDEX(Bestand!$B$14:$B$213,MATCH(A405,Bestand!$A$14:$A$213,0)),"ID unbekannt"))</f>
        <v/>
      </c>
      <c r="C405" s="63" t="n"/>
      <c r="D405" s="61" t="n"/>
      <c r="E405" s="60" t="n"/>
      <c r="F405" s="61" t="n"/>
    </row>
    <row r="406">
      <c r="A406" s="60" t="n"/>
      <c r="B406" s="65">
        <f>IF(A406="","",IFERROR(INDEX(Bestand!$B$14:$B$213,MATCH(A406,Bestand!$A$14:$A$213,0)),"ID unbekannt"))</f>
        <v/>
      </c>
      <c r="C406" s="63" t="n"/>
      <c r="D406" s="61" t="n"/>
      <c r="E406" s="60" t="n"/>
      <c r="F406" s="61" t="n"/>
    </row>
    <row r="407">
      <c r="A407" s="60" t="n"/>
      <c r="B407" s="65">
        <f>IF(A407="","",IFERROR(INDEX(Bestand!$B$14:$B$213,MATCH(A407,Bestand!$A$14:$A$213,0)),"ID unbekannt"))</f>
        <v/>
      </c>
      <c r="C407" s="63" t="n"/>
      <c r="D407" s="61" t="n"/>
      <c r="E407" s="60" t="n"/>
      <c r="F407" s="61" t="n"/>
    </row>
    <row r="408">
      <c r="A408" s="60" t="n"/>
      <c r="B408" s="65">
        <f>IF(A408="","",IFERROR(INDEX(Bestand!$B$14:$B$213,MATCH(A408,Bestand!$A$14:$A$213,0)),"ID unbekannt"))</f>
        <v/>
      </c>
      <c r="C408" s="63" t="n"/>
      <c r="D408" s="61" t="n"/>
      <c r="E408" s="60" t="n"/>
      <c r="F408" s="61" t="n"/>
    </row>
    <row r="409">
      <c r="A409" s="60" t="n"/>
      <c r="B409" s="65">
        <f>IF(A409="","",IFERROR(INDEX(Bestand!$B$14:$B$213,MATCH(A409,Bestand!$A$14:$A$213,0)),"ID unbekannt"))</f>
        <v/>
      </c>
      <c r="C409" s="63" t="n"/>
      <c r="D409" s="61" t="n"/>
      <c r="E409" s="60" t="n"/>
      <c r="F409" s="61" t="n"/>
    </row>
    <row r="410">
      <c r="A410" s="60" t="n"/>
      <c r="B410" s="65">
        <f>IF(A410="","",IFERROR(INDEX(Bestand!$B$14:$B$213,MATCH(A410,Bestand!$A$14:$A$213,0)),"ID unbekannt"))</f>
        <v/>
      </c>
      <c r="C410" s="63" t="n"/>
      <c r="D410" s="61" t="n"/>
      <c r="E410" s="60" t="n"/>
      <c r="F410" s="61" t="n"/>
    </row>
    <row r="411">
      <c r="A411" s="60" t="n"/>
      <c r="B411" s="65">
        <f>IF(A411="","",IFERROR(INDEX(Bestand!$B$14:$B$213,MATCH(A411,Bestand!$A$14:$A$213,0)),"ID unbekannt"))</f>
        <v/>
      </c>
      <c r="C411" s="63" t="n"/>
      <c r="D411" s="61" t="n"/>
      <c r="E411" s="60" t="n"/>
      <c r="F411" s="61" t="n"/>
    </row>
    <row r="412">
      <c r="A412" s="60" t="n"/>
      <c r="B412" s="65">
        <f>IF(A412="","",IFERROR(INDEX(Bestand!$B$14:$B$213,MATCH(A412,Bestand!$A$14:$A$213,0)),"ID unbekannt"))</f>
        <v/>
      </c>
      <c r="C412" s="63" t="n"/>
      <c r="D412" s="61" t="n"/>
      <c r="E412" s="60" t="n"/>
      <c r="F412" s="61" t="n"/>
    </row>
    <row r="413">
      <c r="A413" s="60" t="n"/>
      <c r="B413" s="65">
        <f>IF(A413="","",IFERROR(INDEX(Bestand!$B$14:$B$213,MATCH(A413,Bestand!$A$14:$A$213,0)),"ID unbekannt"))</f>
        <v/>
      </c>
      <c r="C413" s="63" t="n"/>
      <c r="D413" s="61" t="n"/>
      <c r="E413" s="60" t="n"/>
      <c r="F413" s="61" t="n"/>
    </row>
    <row r="414">
      <c r="A414" s="60" t="n"/>
      <c r="B414" s="65">
        <f>IF(A414="","",IFERROR(INDEX(Bestand!$B$14:$B$213,MATCH(A414,Bestand!$A$14:$A$213,0)),"ID unbekannt"))</f>
        <v/>
      </c>
      <c r="C414" s="63" t="n"/>
      <c r="D414" s="61" t="n"/>
      <c r="E414" s="60" t="n"/>
      <c r="F414" s="61" t="n"/>
    </row>
    <row r="415">
      <c r="A415" s="60" t="n"/>
      <c r="B415" s="65">
        <f>IF(A415="","",IFERROR(INDEX(Bestand!$B$14:$B$213,MATCH(A415,Bestand!$A$14:$A$213,0)),"ID unbekannt"))</f>
        <v/>
      </c>
      <c r="C415" s="63" t="n"/>
      <c r="D415" s="61" t="n"/>
      <c r="E415" s="60" t="n"/>
      <c r="F415" s="61" t="n"/>
    </row>
    <row r="416">
      <c r="A416" s="60" t="n"/>
      <c r="B416" s="65">
        <f>IF(A416="","",IFERROR(INDEX(Bestand!$B$14:$B$213,MATCH(A416,Bestand!$A$14:$A$213,0)),"ID unbekannt"))</f>
        <v/>
      </c>
      <c r="C416" s="63" t="n"/>
      <c r="D416" s="61" t="n"/>
      <c r="E416" s="60" t="n"/>
      <c r="F416" s="61" t="n"/>
    </row>
    <row r="417">
      <c r="A417" s="60" t="n"/>
      <c r="B417" s="65">
        <f>IF(A417="","",IFERROR(INDEX(Bestand!$B$14:$B$213,MATCH(A417,Bestand!$A$14:$A$213,0)),"ID unbekannt"))</f>
        <v/>
      </c>
      <c r="C417" s="63" t="n"/>
      <c r="D417" s="61" t="n"/>
      <c r="E417" s="60" t="n"/>
      <c r="F417" s="61" t="n"/>
    </row>
    <row r="418">
      <c r="A418" s="60" t="n"/>
      <c r="B418" s="65">
        <f>IF(A418="","",IFERROR(INDEX(Bestand!$B$14:$B$213,MATCH(A418,Bestand!$A$14:$A$213,0)),"ID unbekannt"))</f>
        <v/>
      </c>
      <c r="C418" s="63" t="n"/>
      <c r="D418" s="61" t="n"/>
      <c r="E418" s="60" t="n"/>
      <c r="F418" s="61" t="n"/>
    </row>
    <row r="419">
      <c r="A419" s="60" t="n"/>
      <c r="B419" s="65">
        <f>IF(A419="","",IFERROR(INDEX(Bestand!$B$14:$B$213,MATCH(A419,Bestand!$A$14:$A$213,0)),"ID unbekannt"))</f>
        <v/>
      </c>
      <c r="C419" s="63" t="n"/>
      <c r="D419" s="61" t="n"/>
      <c r="E419" s="60" t="n"/>
      <c r="F419" s="61" t="n"/>
    </row>
    <row r="420">
      <c r="A420" s="60" t="n"/>
      <c r="B420" s="65">
        <f>IF(A420="","",IFERROR(INDEX(Bestand!$B$14:$B$213,MATCH(A420,Bestand!$A$14:$A$213,0)),"ID unbekannt"))</f>
        <v/>
      </c>
      <c r="C420" s="63" t="n"/>
      <c r="D420" s="61" t="n"/>
      <c r="E420" s="60" t="n"/>
      <c r="F420" s="61" t="n"/>
    </row>
    <row r="421">
      <c r="A421" s="60" t="n"/>
      <c r="B421" s="65">
        <f>IF(A421="","",IFERROR(INDEX(Bestand!$B$14:$B$213,MATCH(A421,Bestand!$A$14:$A$213,0)),"ID unbekannt"))</f>
        <v/>
      </c>
      <c r="C421" s="63" t="n"/>
      <c r="D421" s="61" t="n"/>
      <c r="E421" s="60" t="n"/>
      <c r="F421" s="61" t="n"/>
    </row>
    <row r="422">
      <c r="A422" s="60" t="n"/>
      <c r="B422" s="65">
        <f>IF(A422="","",IFERROR(INDEX(Bestand!$B$14:$B$213,MATCH(A422,Bestand!$A$14:$A$213,0)),"ID unbekannt"))</f>
        <v/>
      </c>
      <c r="C422" s="63" t="n"/>
      <c r="D422" s="61" t="n"/>
      <c r="E422" s="60" t="n"/>
      <c r="F422" s="61" t="n"/>
    </row>
    <row r="423">
      <c r="A423" s="60" t="n"/>
      <c r="B423" s="65">
        <f>IF(A423="","",IFERROR(INDEX(Bestand!$B$14:$B$213,MATCH(A423,Bestand!$A$14:$A$213,0)),"ID unbekannt"))</f>
        <v/>
      </c>
      <c r="C423" s="63" t="n"/>
      <c r="D423" s="61" t="n"/>
      <c r="E423" s="60" t="n"/>
      <c r="F423" s="61" t="n"/>
    </row>
    <row r="424">
      <c r="A424" s="60" t="n"/>
      <c r="B424" s="65">
        <f>IF(A424="","",IFERROR(INDEX(Bestand!$B$14:$B$213,MATCH(A424,Bestand!$A$14:$A$213,0)),"ID unbekannt"))</f>
        <v/>
      </c>
      <c r="C424" s="63" t="n"/>
      <c r="D424" s="61" t="n"/>
      <c r="E424" s="60" t="n"/>
      <c r="F424" s="61" t="n"/>
    </row>
    <row r="425">
      <c r="A425" s="60" t="n"/>
      <c r="B425" s="65">
        <f>IF(A425="","",IFERROR(INDEX(Bestand!$B$14:$B$213,MATCH(A425,Bestand!$A$14:$A$213,0)),"ID unbekannt"))</f>
        <v/>
      </c>
      <c r="C425" s="63" t="n"/>
      <c r="D425" s="61" t="n"/>
      <c r="E425" s="60" t="n"/>
      <c r="F425" s="61" t="n"/>
    </row>
    <row r="426">
      <c r="A426" s="60" t="n"/>
      <c r="B426" s="65">
        <f>IF(A426="","",IFERROR(INDEX(Bestand!$B$14:$B$213,MATCH(A426,Bestand!$A$14:$A$213,0)),"ID unbekannt"))</f>
        <v/>
      </c>
      <c r="C426" s="63" t="n"/>
      <c r="D426" s="61" t="n"/>
      <c r="E426" s="60" t="n"/>
      <c r="F426" s="61" t="n"/>
    </row>
    <row r="427">
      <c r="A427" s="60" t="n"/>
      <c r="B427" s="65">
        <f>IF(A427="","",IFERROR(INDEX(Bestand!$B$14:$B$213,MATCH(A427,Bestand!$A$14:$A$213,0)),"ID unbekannt"))</f>
        <v/>
      </c>
      <c r="C427" s="63" t="n"/>
      <c r="D427" s="61" t="n"/>
      <c r="E427" s="60" t="n"/>
      <c r="F427" s="61" t="n"/>
    </row>
    <row r="428">
      <c r="A428" s="60" t="n"/>
      <c r="B428" s="65">
        <f>IF(A428="","",IFERROR(INDEX(Bestand!$B$14:$B$213,MATCH(A428,Bestand!$A$14:$A$213,0)),"ID unbekannt"))</f>
        <v/>
      </c>
      <c r="C428" s="63" t="n"/>
      <c r="D428" s="61" t="n"/>
      <c r="E428" s="60" t="n"/>
      <c r="F428" s="61" t="n"/>
    </row>
    <row r="429">
      <c r="A429" s="60" t="n"/>
      <c r="B429" s="65">
        <f>IF(A429="","",IFERROR(INDEX(Bestand!$B$14:$B$213,MATCH(A429,Bestand!$A$14:$A$213,0)),"ID unbekannt"))</f>
        <v/>
      </c>
      <c r="C429" s="63" t="n"/>
      <c r="D429" s="61" t="n"/>
      <c r="E429" s="60" t="n"/>
      <c r="F429" s="61" t="n"/>
    </row>
    <row r="430">
      <c r="A430" s="60" t="n"/>
      <c r="B430" s="65">
        <f>IF(A430="","",IFERROR(INDEX(Bestand!$B$14:$B$213,MATCH(A430,Bestand!$A$14:$A$213,0)),"ID unbekannt"))</f>
        <v/>
      </c>
      <c r="C430" s="63" t="n"/>
      <c r="D430" s="61" t="n"/>
      <c r="E430" s="60" t="n"/>
      <c r="F430" s="61" t="n"/>
    </row>
    <row r="431">
      <c r="A431" s="60" t="n"/>
      <c r="B431" s="65">
        <f>IF(A431="","",IFERROR(INDEX(Bestand!$B$14:$B$213,MATCH(A431,Bestand!$A$14:$A$213,0)),"ID unbekannt"))</f>
        <v/>
      </c>
      <c r="C431" s="63" t="n"/>
      <c r="D431" s="61" t="n"/>
      <c r="E431" s="60" t="n"/>
      <c r="F431" s="61" t="n"/>
    </row>
    <row r="432">
      <c r="A432" s="60" t="n"/>
      <c r="B432" s="65">
        <f>IF(A432="","",IFERROR(INDEX(Bestand!$B$14:$B$213,MATCH(A432,Bestand!$A$14:$A$213,0)),"ID unbekannt"))</f>
        <v/>
      </c>
      <c r="C432" s="63" t="n"/>
      <c r="D432" s="61" t="n"/>
      <c r="E432" s="60" t="n"/>
      <c r="F432" s="61" t="n"/>
    </row>
    <row r="433">
      <c r="A433" s="60" t="n"/>
      <c r="B433" s="65">
        <f>IF(A433="","",IFERROR(INDEX(Bestand!$B$14:$B$213,MATCH(A433,Bestand!$A$14:$A$213,0)),"ID unbekannt"))</f>
        <v/>
      </c>
      <c r="C433" s="63" t="n"/>
      <c r="D433" s="61" t="n"/>
      <c r="E433" s="60" t="n"/>
      <c r="F433" s="61" t="n"/>
    </row>
    <row r="434">
      <c r="A434" s="60" t="n"/>
      <c r="B434" s="65">
        <f>IF(A434="","",IFERROR(INDEX(Bestand!$B$14:$B$213,MATCH(A434,Bestand!$A$14:$A$213,0)),"ID unbekannt"))</f>
        <v/>
      </c>
      <c r="C434" s="63" t="n"/>
      <c r="D434" s="61" t="n"/>
      <c r="E434" s="60" t="n"/>
      <c r="F434" s="61" t="n"/>
    </row>
    <row r="435">
      <c r="A435" s="60" t="n"/>
      <c r="B435" s="65">
        <f>IF(A435="","",IFERROR(INDEX(Bestand!$B$14:$B$213,MATCH(A435,Bestand!$A$14:$A$213,0)),"ID unbekannt"))</f>
        <v/>
      </c>
      <c r="C435" s="63" t="n"/>
      <c r="D435" s="61" t="n"/>
      <c r="E435" s="60" t="n"/>
      <c r="F435" s="61" t="n"/>
    </row>
    <row r="436">
      <c r="A436" s="60" t="n"/>
      <c r="B436" s="65">
        <f>IF(A436="","",IFERROR(INDEX(Bestand!$B$14:$B$213,MATCH(A436,Bestand!$A$14:$A$213,0)),"ID unbekannt"))</f>
        <v/>
      </c>
      <c r="C436" s="63" t="n"/>
      <c r="D436" s="61" t="n"/>
      <c r="E436" s="60" t="n"/>
      <c r="F436" s="61" t="n"/>
    </row>
    <row r="437">
      <c r="A437" s="60" t="n"/>
      <c r="B437" s="65">
        <f>IF(A437="","",IFERROR(INDEX(Bestand!$B$14:$B$213,MATCH(A437,Bestand!$A$14:$A$213,0)),"ID unbekannt"))</f>
        <v/>
      </c>
      <c r="C437" s="63" t="n"/>
      <c r="D437" s="61" t="n"/>
      <c r="E437" s="60" t="n"/>
      <c r="F437" s="61" t="n"/>
    </row>
    <row r="438">
      <c r="A438" s="60" t="n"/>
      <c r="B438" s="65">
        <f>IF(A438="","",IFERROR(INDEX(Bestand!$B$14:$B$213,MATCH(A438,Bestand!$A$14:$A$213,0)),"ID unbekannt"))</f>
        <v/>
      </c>
      <c r="C438" s="63" t="n"/>
      <c r="D438" s="61" t="n"/>
      <c r="E438" s="60" t="n"/>
      <c r="F438" s="61" t="n"/>
    </row>
    <row r="439">
      <c r="A439" s="60" t="n"/>
      <c r="B439" s="65">
        <f>IF(A439="","",IFERROR(INDEX(Bestand!$B$14:$B$213,MATCH(A439,Bestand!$A$14:$A$213,0)),"ID unbekannt"))</f>
        <v/>
      </c>
      <c r="C439" s="63" t="n"/>
      <c r="D439" s="61" t="n"/>
      <c r="E439" s="60" t="n"/>
      <c r="F439" s="61" t="n"/>
    </row>
    <row r="440">
      <c r="A440" s="60" t="n"/>
      <c r="B440" s="65">
        <f>IF(A440="","",IFERROR(INDEX(Bestand!$B$14:$B$213,MATCH(A440,Bestand!$A$14:$A$213,0)),"ID unbekannt"))</f>
        <v/>
      </c>
      <c r="C440" s="63" t="n"/>
      <c r="D440" s="61" t="n"/>
      <c r="E440" s="60" t="n"/>
      <c r="F440" s="61" t="n"/>
    </row>
    <row r="441">
      <c r="A441" s="60" t="n"/>
      <c r="B441" s="65">
        <f>IF(A441="","",IFERROR(INDEX(Bestand!$B$14:$B$213,MATCH(A441,Bestand!$A$14:$A$213,0)),"ID unbekannt"))</f>
        <v/>
      </c>
      <c r="C441" s="63" t="n"/>
      <c r="D441" s="61" t="n"/>
      <c r="E441" s="60" t="n"/>
      <c r="F441" s="61" t="n"/>
    </row>
    <row r="442">
      <c r="A442" s="60" t="n"/>
      <c r="B442" s="65">
        <f>IF(A442="","",IFERROR(INDEX(Bestand!$B$14:$B$213,MATCH(A442,Bestand!$A$14:$A$213,0)),"ID unbekannt"))</f>
        <v/>
      </c>
      <c r="C442" s="63" t="n"/>
      <c r="D442" s="61" t="n"/>
      <c r="E442" s="60" t="n"/>
      <c r="F442" s="61" t="n"/>
    </row>
    <row r="443">
      <c r="A443" s="60" t="n"/>
      <c r="B443" s="65">
        <f>IF(A443="","",IFERROR(INDEX(Bestand!$B$14:$B$213,MATCH(A443,Bestand!$A$14:$A$213,0)),"ID unbekannt"))</f>
        <v/>
      </c>
      <c r="C443" s="63" t="n"/>
      <c r="D443" s="61" t="n"/>
      <c r="E443" s="60" t="n"/>
      <c r="F443" s="61" t="n"/>
    </row>
    <row r="444">
      <c r="A444" s="60" t="n"/>
      <c r="B444" s="65">
        <f>IF(A444="","",IFERROR(INDEX(Bestand!$B$14:$B$213,MATCH(A444,Bestand!$A$14:$A$213,0)),"ID unbekannt"))</f>
        <v/>
      </c>
      <c r="C444" s="63" t="n"/>
      <c r="D444" s="61" t="n"/>
      <c r="E444" s="60" t="n"/>
      <c r="F444" s="61" t="n"/>
    </row>
    <row r="445">
      <c r="A445" s="60" t="n"/>
      <c r="B445" s="65">
        <f>IF(A445="","",IFERROR(INDEX(Bestand!$B$14:$B$213,MATCH(A445,Bestand!$A$14:$A$213,0)),"ID unbekannt"))</f>
        <v/>
      </c>
      <c r="C445" s="63" t="n"/>
      <c r="D445" s="61" t="n"/>
      <c r="E445" s="60" t="n"/>
      <c r="F445" s="61" t="n"/>
    </row>
    <row r="446">
      <c r="A446" s="60" t="n"/>
      <c r="B446" s="65">
        <f>IF(A446="","",IFERROR(INDEX(Bestand!$B$14:$B$213,MATCH(A446,Bestand!$A$14:$A$213,0)),"ID unbekannt"))</f>
        <v/>
      </c>
      <c r="C446" s="63" t="n"/>
      <c r="D446" s="61" t="n"/>
      <c r="E446" s="60" t="n"/>
      <c r="F446" s="61" t="n"/>
    </row>
    <row r="447">
      <c r="A447" s="60" t="n"/>
      <c r="B447" s="65">
        <f>IF(A447="","",IFERROR(INDEX(Bestand!$B$14:$B$213,MATCH(A447,Bestand!$A$14:$A$213,0)),"ID unbekannt"))</f>
        <v/>
      </c>
      <c r="C447" s="63" t="n"/>
      <c r="D447" s="61" t="n"/>
      <c r="E447" s="60" t="n"/>
      <c r="F447" s="61" t="n"/>
    </row>
    <row r="448">
      <c r="A448" s="60" t="n"/>
      <c r="B448" s="65">
        <f>IF(A448="","",IFERROR(INDEX(Bestand!$B$14:$B$213,MATCH(A448,Bestand!$A$14:$A$213,0)),"ID unbekannt"))</f>
        <v/>
      </c>
      <c r="C448" s="63" t="n"/>
      <c r="D448" s="61" t="n"/>
      <c r="E448" s="60" t="n"/>
      <c r="F448" s="61" t="n"/>
    </row>
    <row r="449">
      <c r="A449" s="60" t="n"/>
      <c r="B449" s="65">
        <f>IF(A449="","",IFERROR(INDEX(Bestand!$B$14:$B$213,MATCH(A449,Bestand!$A$14:$A$213,0)),"ID unbekannt"))</f>
        <v/>
      </c>
      <c r="C449" s="63" t="n"/>
      <c r="D449" s="61" t="n"/>
      <c r="E449" s="60" t="n"/>
      <c r="F449" s="61" t="n"/>
    </row>
    <row r="450">
      <c r="A450" s="60" t="n"/>
      <c r="B450" s="65">
        <f>IF(A450="","",IFERROR(INDEX(Bestand!$B$14:$B$213,MATCH(A450,Bestand!$A$14:$A$213,0)),"ID unbekannt"))</f>
        <v/>
      </c>
      <c r="C450" s="63" t="n"/>
      <c r="D450" s="61" t="n"/>
      <c r="E450" s="60" t="n"/>
      <c r="F450" s="61" t="n"/>
    </row>
    <row r="451">
      <c r="A451" s="60" t="n"/>
      <c r="B451" s="65">
        <f>IF(A451="","",IFERROR(INDEX(Bestand!$B$14:$B$213,MATCH(A451,Bestand!$A$14:$A$213,0)),"ID unbekannt"))</f>
        <v/>
      </c>
      <c r="C451" s="63" t="n"/>
      <c r="D451" s="61" t="n"/>
      <c r="E451" s="60" t="n"/>
      <c r="F451" s="61" t="n"/>
    </row>
    <row r="452">
      <c r="A452" s="60" t="n"/>
      <c r="B452" s="65">
        <f>IF(A452="","",IFERROR(INDEX(Bestand!$B$14:$B$213,MATCH(A452,Bestand!$A$14:$A$213,0)),"ID unbekannt"))</f>
        <v/>
      </c>
      <c r="C452" s="63" t="n"/>
      <c r="D452" s="61" t="n"/>
      <c r="E452" s="60" t="n"/>
      <c r="F452" s="61" t="n"/>
    </row>
    <row r="453">
      <c r="A453" s="60" t="n"/>
      <c r="B453" s="65">
        <f>IF(A453="","",IFERROR(INDEX(Bestand!$B$14:$B$213,MATCH(A453,Bestand!$A$14:$A$213,0)),"ID unbekannt"))</f>
        <v/>
      </c>
      <c r="C453" s="63" t="n"/>
      <c r="D453" s="61" t="n"/>
      <c r="E453" s="60" t="n"/>
      <c r="F453" s="61" t="n"/>
    </row>
    <row r="454">
      <c r="A454" s="60" t="n"/>
      <c r="B454" s="65">
        <f>IF(A454="","",IFERROR(INDEX(Bestand!$B$14:$B$213,MATCH(A454,Bestand!$A$14:$A$213,0)),"ID unbekannt"))</f>
        <v/>
      </c>
      <c r="C454" s="63" t="n"/>
      <c r="D454" s="61" t="n"/>
      <c r="E454" s="60" t="n"/>
      <c r="F454" s="61" t="n"/>
    </row>
    <row r="455">
      <c r="A455" s="60" t="n"/>
      <c r="B455" s="65">
        <f>IF(A455="","",IFERROR(INDEX(Bestand!$B$14:$B$213,MATCH(A455,Bestand!$A$14:$A$213,0)),"ID unbekannt"))</f>
        <v/>
      </c>
      <c r="C455" s="63" t="n"/>
      <c r="D455" s="61" t="n"/>
      <c r="E455" s="60" t="n"/>
      <c r="F455" s="61" t="n"/>
    </row>
    <row r="456">
      <c r="A456" s="60" t="n"/>
      <c r="B456" s="65">
        <f>IF(A456="","",IFERROR(INDEX(Bestand!$B$14:$B$213,MATCH(A456,Bestand!$A$14:$A$213,0)),"ID unbekannt"))</f>
        <v/>
      </c>
      <c r="C456" s="63" t="n"/>
      <c r="D456" s="61" t="n"/>
      <c r="E456" s="60" t="n"/>
      <c r="F456" s="61" t="n"/>
    </row>
    <row r="457">
      <c r="A457" s="60" t="n"/>
      <c r="B457" s="65">
        <f>IF(A457="","",IFERROR(INDEX(Bestand!$B$14:$B$213,MATCH(A457,Bestand!$A$14:$A$213,0)),"ID unbekannt"))</f>
        <v/>
      </c>
      <c r="C457" s="63" t="n"/>
      <c r="D457" s="61" t="n"/>
      <c r="E457" s="60" t="n"/>
      <c r="F457" s="61" t="n"/>
    </row>
    <row r="458">
      <c r="A458" s="60" t="n"/>
      <c r="B458" s="65">
        <f>IF(A458="","",IFERROR(INDEX(Bestand!$B$14:$B$213,MATCH(A458,Bestand!$A$14:$A$213,0)),"ID unbekannt"))</f>
        <v/>
      </c>
      <c r="C458" s="63" t="n"/>
      <c r="D458" s="61" t="n"/>
      <c r="E458" s="60" t="n"/>
      <c r="F458" s="61" t="n"/>
    </row>
    <row r="459">
      <c r="A459" s="60" t="n"/>
      <c r="B459" s="65">
        <f>IF(A459="","",IFERROR(INDEX(Bestand!$B$14:$B$213,MATCH(A459,Bestand!$A$14:$A$213,0)),"ID unbekannt"))</f>
        <v/>
      </c>
      <c r="C459" s="63" t="n"/>
      <c r="D459" s="61" t="n"/>
      <c r="E459" s="60" t="n"/>
      <c r="F459" s="61" t="n"/>
    </row>
    <row r="460">
      <c r="A460" s="60" t="n"/>
      <c r="B460" s="65">
        <f>IF(A460="","",IFERROR(INDEX(Bestand!$B$14:$B$213,MATCH(A460,Bestand!$A$14:$A$213,0)),"ID unbekannt"))</f>
        <v/>
      </c>
      <c r="C460" s="63" t="n"/>
      <c r="D460" s="61" t="n"/>
      <c r="E460" s="60" t="n"/>
      <c r="F460" s="61" t="n"/>
    </row>
    <row r="461">
      <c r="A461" s="60" t="n"/>
      <c r="B461" s="65">
        <f>IF(A461="","",IFERROR(INDEX(Bestand!$B$14:$B$213,MATCH(A461,Bestand!$A$14:$A$213,0)),"ID unbekannt"))</f>
        <v/>
      </c>
      <c r="C461" s="63" t="n"/>
      <c r="D461" s="61" t="n"/>
      <c r="E461" s="60" t="n"/>
      <c r="F461" s="61" t="n"/>
    </row>
    <row r="462">
      <c r="A462" s="60" t="n"/>
      <c r="B462" s="65">
        <f>IF(A462="","",IFERROR(INDEX(Bestand!$B$14:$B$213,MATCH(A462,Bestand!$A$14:$A$213,0)),"ID unbekannt"))</f>
        <v/>
      </c>
      <c r="C462" s="63" t="n"/>
      <c r="D462" s="61" t="n"/>
      <c r="E462" s="60" t="n"/>
      <c r="F462" s="61" t="n"/>
    </row>
    <row r="463">
      <c r="A463" s="60" t="n"/>
      <c r="B463" s="65">
        <f>IF(A463="","",IFERROR(INDEX(Bestand!$B$14:$B$213,MATCH(A463,Bestand!$A$14:$A$213,0)),"ID unbekannt"))</f>
        <v/>
      </c>
      <c r="C463" s="63" t="n"/>
      <c r="D463" s="61" t="n"/>
      <c r="E463" s="60" t="n"/>
      <c r="F463" s="61" t="n"/>
    </row>
    <row r="464">
      <c r="A464" s="60" t="n"/>
      <c r="B464" s="65">
        <f>IF(A464="","",IFERROR(INDEX(Bestand!$B$14:$B$213,MATCH(A464,Bestand!$A$14:$A$213,0)),"ID unbekannt"))</f>
        <v/>
      </c>
      <c r="C464" s="63" t="n"/>
      <c r="D464" s="61" t="n"/>
      <c r="E464" s="60" t="n"/>
      <c r="F464" s="61" t="n"/>
    </row>
    <row r="465">
      <c r="A465" s="60" t="n"/>
      <c r="B465" s="65">
        <f>IF(A465="","",IFERROR(INDEX(Bestand!$B$14:$B$213,MATCH(A465,Bestand!$A$14:$A$213,0)),"ID unbekannt"))</f>
        <v/>
      </c>
      <c r="C465" s="63" t="n"/>
      <c r="D465" s="61" t="n"/>
      <c r="E465" s="60" t="n"/>
      <c r="F465" s="61" t="n"/>
    </row>
    <row r="466">
      <c r="A466" s="60" t="n"/>
      <c r="B466" s="65">
        <f>IF(A466="","",IFERROR(INDEX(Bestand!$B$14:$B$213,MATCH(A466,Bestand!$A$14:$A$213,0)),"ID unbekannt"))</f>
        <v/>
      </c>
      <c r="C466" s="63" t="n"/>
      <c r="D466" s="61" t="n"/>
      <c r="E466" s="60" t="n"/>
      <c r="F466" s="61" t="n"/>
    </row>
    <row r="467">
      <c r="A467" s="60" t="n"/>
      <c r="B467" s="65">
        <f>IF(A467="","",IFERROR(INDEX(Bestand!$B$14:$B$213,MATCH(A467,Bestand!$A$14:$A$213,0)),"ID unbekannt"))</f>
        <v/>
      </c>
      <c r="C467" s="63" t="n"/>
      <c r="D467" s="61" t="n"/>
      <c r="E467" s="60" t="n"/>
      <c r="F467" s="61" t="n"/>
    </row>
    <row r="468">
      <c r="A468" s="60" t="n"/>
      <c r="B468" s="65">
        <f>IF(A468="","",IFERROR(INDEX(Bestand!$B$14:$B$213,MATCH(A468,Bestand!$A$14:$A$213,0)),"ID unbekannt"))</f>
        <v/>
      </c>
      <c r="C468" s="63" t="n"/>
      <c r="D468" s="61" t="n"/>
      <c r="E468" s="60" t="n"/>
      <c r="F468" s="61" t="n"/>
    </row>
    <row r="469">
      <c r="A469" s="60" t="n"/>
      <c r="B469" s="65">
        <f>IF(A469="","",IFERROR(INDEX(Bestand!$B$14:$B$213,MATCH(A469,Bestand!$A$14:$A$213,0)),"ID unbekannt"))</f>
        <v/>
      </c>
      <c r="C469" s="63" t="n"/>
      <c r="D469" s="61" t="n"/>
      <c r="E469" s="60" t="n"/>
      <c r="F469" s="61" t="n"/>
    </row>
    <row r="470">
      <c r="A470" s="60" t="n"/>
      <c r="B470" s="65">
        <f>IF(A470="","",IFERROR(INDEX(Bestand!$B$14:$B$213,MATCH(A470,Bestand!$A$14:$A$213,0)),"ID unbekannt"))</f>
        <v/>
      </c>
      <c r="C470" s="63" t="n"/>
      <c r="D470" s="61" t="n"/>
      <c r="E470" s="60" t="n"/>
      <c r="F470" s="61" t="n"/>
    </row>
    <row r="471">
      <c r="A471" s="60" t="n"/>
      <c r="B471" s="65">
        <f>IF(A471="","",IFERROR(INDEX(Bestand!$B$14:$B$213,MATCH(A471,Bestand!$A$14:$A$213,0)),"ID unbekannt"))</f>
        <v/>
      </c>
      <c r="C471" s="63" t="n"/>
      <c r="D471" s="61" t="n"/>
      <c r="E471" s="60" t="n"/>
      <c r="F471" s="61" t="n"/>
    </row>
    <row r="472">
      <c r="A472" s="60" t="n"/>
      <c r="B472" s="65">
        <f>IF(A472="","",IFERROR(INDEX(Bestand!$B$14:$B$213,MATCH(A472,Bestand!$A$14:$A$213,0)),"ID unbekannt"))</f>
        <v/>
      </c>
      <c r="C472" s="63" t="n"/>
      <c r="D472" s="61" t="n"/>
      <c r="E472" s="60" t="n"/>
      <c r="F472" s="61" t="n"/>
    </row>
    <row r="473">
      <c r="A473" s="60" t="n"/>
      <c r="B473" s="65">
        <f>IF(A473="","",IFERROR(INDEX(Bestand!$B$14:$B$213,MATCH(A473,Bestand!$A$14:$A$213,0)),"ID unbekannt"))</f>
        <v/>
      </c>
      <c r="C473" s="63" t="n"/>
      <c r="D473" s="61" t="n"/>
      <c r="E473" s="60" t="n"/>
      <c r="F473" s="61" t="n"/>
    </row>
    <row r="474">
      <c r="A474" s="60" t="n"/>
      <c r="B474" s="65">
        <f>IF(A474="","",IFERROR(INDEX(Bestand!$B$14:$B$213,MATCH(A474,Bestand!$A$14:$A$213,0)),"ID unbekannt"))</f>
        <v/>
      </c>
      <c r="C474" s="63" t="n"/>
      <c r="D474" s="61" t="n"/>
      <c r="E474" s="60" t="n"/>
      <c r="F474" s="61" t="n"/>
    </row>
    <row r="475">
      <c r="A475" s="60" t="n"/>
      <c r="B475" s="65">
        <f>IF(A475="","",IFERROR(INDEX(Bestand!$B$14:$B$213,MATCH(A475,Bestand!$A$14:$A$213,0)),"ID unbekannt"))</f>
        <v/>
      </c>
      <c r="C475" s="63" t="n"/>
      <c r="D475" s="61" t="n"/>
      <c r="E475" s="60" t="n"/>
      <c r="F475" s="61" t="n"/>
    </row>
    <row r="476">
      <c r="A476" s="60" t="n"/>
      <c r="B476" s="65">
        <f>IF(A476="","",IFERROR(INDEX(Bestand!$B$14:$B$213,MATCH(A476,Bestand!$A$14:$A$213,0)),"ID unbekannt"))</f>
        <v/>
      </c>
      <c r="C476" s="63" t="n"/>
      <c r="D476" s="61" t="n"/>
      <c r="E476" s="60" t="n"/>
      <c r="F476" s="61" t="n"/>
    </row>
    <row r="477">
      <c r="A477" s="60" t="n"/>
      <c r="B477" s="65">
        <f>IF(A477="","",IFERROR(INDEX(Bestand!$B$14:$B$213,MATCH(A477,Bestand!$A$14:$A$213,0)),"ID unbekannt"))</f>
        <v/>
      </c>
      <c r="C477" s="63" t="n"/>
      <c r="D477" s="61" t="n"/>
      <c r="E477" s="60" t="n"/>
      <c r="F477" s="61" t="n"/>
    </row>
    <row r="478">
      <c r="A478" s="60" t="n"/>
      <c r="B478" s="65">
        <f>IF(A478="","",IFERROR(INDEX(Bestand!$B$14:$B$213,MATCH(A478,Bestand!$A$14:$A$213,0)),"ID unbekannt"))</f>
        <v/>
      </c>
      <c r="C478" s="63" t="n"/>
      <c r="D478" s="61" t="n"/>
      <c r="E478" s="60" t="n"/>
      <c r="F478" s="61" t="n"/>
    </row>
    <row r="479">
      <c r="A479" s="60" t="n"/>
      <c r="B479" s="65">
        <f>IF(A479="","",IFERROR(INDEX(Bestand!$B$14:$B$213,MATCH(A479,Bestand!$A$14:$A$213,0)),"ID unbekannt"))</f>
        <v/>
      </c>
      <c r="C479" s="63" t="n"/>
      <c r="D479" s="61" t="n"/>
      <c r="E479" s="60" t="n"/>
      <c r="F479" s="61" t="n"/>
    </row>
    <row r="480">
      <c r="A480" s="60" t="n"/>
      <c r="B480" s="65">
        <f>IF(A480="","",IFERROR(INDEX(Bestand!$B$14:$B$213,MATCH(A480,Bestand!$A$14:$A$213,0)),"ID unbekannt"))</f>
        <v/>
      </c>
      <c r="C480" s="63" t="n"/>
      <c r="D480" s="61" t="n"/>
      <c r="E480" s="60" t="n"/>
      <c r="F480" s="61" t="n"/>
    </row>
    <row r="481">
      <c r="A481" s="60" t="n"/>
      <c r="B481" s="65">
        <f>IF(A481="","",IFERROR(INDEX(Bestand!$B$14:$B$213,MATCH(A481,Bestand!$A$14:$A$213,0)),"ID unbekannt"))</f>
        <v/>
      </c>
      <c r="C481" s="63" t="n"/>
      <c r="D481" s="61" t="n"/>
      <c r="E481" s="60" t="n"/>
      <c r="F481" s="61" t="n"/>
    </row>
    <row r="482">
      <c r="A482" s="60" t="n"/>
      <c r="B482" s="65">
        <f>IF(A482="","",IFERROR(INDEX(Bestand!$B$14:$B$213,MATCH(A482,Bestand!$A$14:$A$213,0)),"ID unbekannt"))</f>
        <v/>
      </c>
      <c r="C482" s="63" t="n"/>
      <c r="D482" s="61" t="n"/>
      <c r="E482" s="60" t="n"/>
      <c r="F482" s="61" t="n"/>
    </row>
    <row r="483">
      <c r="A483" s="60" t="n"/>
      <c r="B483" s="65">
        <f>IF(A483="","",IFERROR(INDEX(Bestand!$B$14:$B$213,MATCH(A483,Bestand!$A$14:$A$213,0)),"ID unbekannt"))</f>
        <v/>
      </c>
      <c r="C483" s="63" t="n"/>
      <c r="D483" s="61" t="n"/>
      <c r="E483" s="60" t="n"/>
      <c r="F483" s="61" t="n"/>
    </row>
    <row r="484">
      <c r="A484" s="60" t="n"/>
      <c r="B484" s="65">
        <f>IF(A484="","",IFERROR(INDEX(Bestand!$B$14:$B$213,MATCH(A484,Bestand!$A$14:$A$213,0)),"ID unbekannt"))</f>
        <v/>
      </c>
      <c r="C484" s="63" t="n"/>
      <c r="D484" s="61" t="n"/>
      <c r="E484" s="60" t="n"/>
      <c r="F484" s="61" t="n"/>
    </row>
    <row r="485">
      <c r="A485" s="60" t="n"/>
      <c r="B485" s="65">
        <f>IF(A485="","",IFERROR(INDEX(Bestand!$B$14:$B$213,MATCH(A485,Bestand!$A$14:$A$213,0)),"ID unbekannt"))</f>
        <v/>
      </c>
      <c r="C485" s="63" t="n"/>
      <c r="D485" s="61" t="n"/>
      <c r="E485" s="60" t="n"/>
      <c r="F485" s="61" t="n"/>
    </row>
    <row r="486">
      <c r="A486" s="60" t="n"/>
      <c r="B486" s="65">
        <f>IF(A486="","",IFERROR(INDEX(Bestand!$B$14:$B$213,MATCH(A486,Bestand!$A$14:$A$213,0)),"ID unbekannt"))</f>
        <v/>
      </c>
      <c r="C486" s="63" t="n"/>
      <c r="D486" s="61" t="n"/>
      <c r="E486" s="60" t="n"/>
      <c r="F486" s="61" t="n"/>
    </row>
    <row r="487">
      <c r="A487" s="60" t="n"/>
      <c r="B487" s="65">
        <f>IF(A487="","",IFERROR(INDEX(Bestand!$B$14:$B$213,MATCH(A487,Bestand!$A$14:$A$213,0)),"ID unbekannt"))</f>
        <v/>
      </c>
      <c r="C487" s="63" t="n"/>
      <c r="D487" s="61" t="n"/>
      <c r="E487" s="60" t="n"/>
      <c r="F487" s="61" t="n"/>
    </row>
    <row r="488">
      <c r="A488" s="60" t="n"/>
      <c r="B488" s="65">
        <f>IF(A488="","",IFERROR(INDEX(Bestand!$B$14:$B$213,MATCH(A488,Bestand!$A$14:$A$213,0)),"ID unbekannt"))</f>
        <v/>
      </c>
      <c r="C488" s="63" t="n"/>
      <c r="D488" s="61" t="n"/>
      <c r="E488" s="60" t="n"/>
      <c r="F488" s="61" t="n"/>
    </row>
    <row r="489">
      <c r="A489" s="60" t="n"/>
      <c r="B489" s="65">
        <f>IF(A489="","",IFERROR(INDEX(Bestand!$B$14:$B$213,MATCH(A489,Bestand!$A$14:$A$213,0)),"ID unbekannt"))</f>
        <v/>
      </c>
      <c r="C489" s="63" t="n"/>
      <c r="D489" s="61" t="n"/>
      <c r="E489" s="60" t="n"/>
      <c r="F489" s="61" t="n"/>
    </row>
    <row r="490">
      <c r="A490" s="60" t="n"/>
      <c r="B490" s="65">
        <f>IF(A490="","",IFERROR(INDEX(Bestand!$B$14:$B$213,MATCH(A490,Bestand!$A$14:$A$213,0)),"ID unbekannt"))</f>
        <v/>
      </c>
      <c r="C490" s="63" t="n"/>
      <c r="D490" s="61" t="n"/>
      <c r="E490" s="60" t="n"/>
      <c r="F490" s="61" t="n"/>
    </row>
    <row r="491">
      <c r="A491" s="60" t="n"/>
      <c r="B491" s="65">
        <f>IF(A491="","",IFERROR(INDEX(Bestand!$B$14:$B$213,MATCH(A491,Bestand!$A$14:$A$213,0)),"ID unbekannt"))</f>
        <v/>
      </c>
      <c r="C491" s="63" t="n"/>
      <c r="D491" s="61" t="n"/>
      <c r="E491" s="60" t="n"/>
      <c r="F491" s="61" t="n"/>
    </row>
    <row r="492">
      <c r="A492" s="60" t="n"/>
      <c r="B492" s="65">
        <f>IF(A492="","",IFERROR(INDEX(Bestand!$B$14:$B$213,MATCH(A492,Bestand!$A$14:$A$213,0)),"ID unbekannt"))</f>
        <v/>
      </c>
      <c r="C492" s="63" t="n"/>
      <c r="D492" s="61" t="n"/>
      <c r="E492" s="60" t="n"/>
      <c r="F492" s="61" t="n"/>
    </row>
    <row r="493">
      <c r="A493" s="60" t="n"/>
      <c r="B493" s="65">
        <f>IF(A493="","",IFERROR(INDEX(Bestand!$B$14:$B$213,MATCH(A493,Bestand!$A$14:$A$213,0)),"ID unbekannt"))</f>
        <v/>
      </c>
      <c r="C493" s="63" t="n"/>
      <c r="D493" s="61" t="n"/>
      <c r="E493" s="60" t="n"/>
      <c r="F493" s="61" t="n"/>
    </row>
    <row r="494">
      <c r="A494" s="60" t="n"/>
      <c r="B494" s="65">
        <f>IF(A494="","",IFERROR(INDEX(Bestand!$B$14:$B$213,MATCH(A494,Bestand!$A$14:$A$213,0)),"ID unbekannt"))</f>
        <v/>
      </c>
      <c r="C494" s="63" t="n"/>
      <c r="D494" s="61" t="n"/>
      <c r="E494" s="60" t="n"/>
      <c r="F494" s="61" t="n"/>
    </row>
    <row r="495">
      <c r="A495" s="60" t="n"/>
      <c r="B495" s="65">
        <f>IF(A495="","",IFERROR(INDEX(Bestand!$B$14:$B$213,MATCH(A495,Bestand!$A$14:$A$213,0)),"ID unbekannt"))</f>
        <v/>
      </c>
      <c r="C495" s="63" t="n"/>
      <c r="D495" s="61" t="n"/>
      <c r="E495" s="60" t="n"/>
      <c r="F495" s="61" t="n"/>
    </row>
    <row r="496">
      <c r="A496" s="60" t="n"/>
      <c r="B496" s="65">
        <f>IF(A496="","",IFERROR(INDEX(Bestand!$B$14:$B$213,MATCH(A496,Bestand!$A$14:$A$213,0)),"ID unbekannt"))</f>
        <v/>
      </c>
      <c r="C496" s="63" t="n"/>
      <c r="D496" s="61" t="n"/>
      <c r="E496" s="60" t="n"/>
      <c r="F496" s="61" t="n"/>
    </row>
    <row r="497">
      <c r="A497" s="60" t="n"/>
      <c r="B497" s="65">
        <f>IF(A497="","",IFERROR(INDEX(Bestand!$B$14:$B$213,MATCH(A497,Bestand!$A$14:$A$213,0)),"ID unbekannt"))</f>
        <v/>
      </c>
      <c r="C497" s="63" t="n"/>
      <c r="D497" s="61" t="n"/>
      <c r="E497" s="60" t="n"/>
      <c r="F497" s="61" t="n"/>
    </row>
    <row r="498">
      <c r="A498" s="60" t="n"/>
      <c r="B498" s="65">
        <f>IF(A498="","",IFERROR(INDEX(Bestand!$B$14:$B$213,MATCH(A498,Bestand!$A$14:$A$213,0)),"ID unbekannt"))</f>
        <v/>
      </c>
      <c r="C498" s="63" t="n"/>
      <c r="D498" s="61" t="n"/>
      <c r="E498" s="60" t="n"/>
      <c r="F498" s="61" t="n"/>
    </row>
    <row r="499">
      <c r="A499" s="60" t="n"/>
      <c r="B499" s="65">
        <f>IF(A499="","",IFERROR(INDEX(Bestand!$B$14:$B$213,MATCH(A499,Bestand!$A$14:$A$213,0)),"ID unbekannt"))</f>
        <v/>
      </c>
      <c r="C499" s="63" t="n"/>
      <c r="D499" s="61" t="n"/>
      <c r="E499" s="60" t="n"/>
      <c r="F499" s="61" t="n"/>
    </row>
    <row r="500">
      <c r="A500" s="60" t="n"/>
      <c r="B500" s="65">
        <f>IF(A500="","",IFERROR(INDEX(Bestand!$B$14:$B$213,MATCH(A500,Bestand!$A$14:$A$213,0)),"ID unbekannt"))</f>
        <v/>
      </c>
      <c r="C500" s="63" t="n"/>
      <c r="D500" s="61" t="n"/>
      <c r="E500" s="60" t="n"/>
      <c r="F500" s="61" t="n"/>
    </row>
    <row r="501">
      <c r="A501" s="60" t="n"/>
      <c r="B501" s="65">
        <f>IF(A501="","",IFERROR(INDEX(Bestand!$B$14:$B$213,MATCH(A501,Bestand!$A$14:$A$213,0)),"ID unbekannt"))</f>
        <v/>
      </c>
      <c r="C501" s="63" t="n"/>
      <c r="D501" s="61" t="n"/>
      <c r="E501" s="60" t="n"/>
      <c r="F501" s="61" t="n"/>
    </row>
    <row r="502">
      <c r="A502" s="60" t="n"/>
      <c r="B502" s="65">
        <f>IF(A502="","",IFERROR(INDEX(Bestand!$B$14:$B$213,MATCH(A502,Bestand!$A$14:$A$213,0)),"ID unbekannt"))</f>
        <v/>
      </c>
      <c r="C502" s="63" t="n"/>
      <c r="D502" s="61" t="n"/>
      <c r="E502" s="60" t="n"/>
      <c r="F502" s="61" t="n"/>
    </row>
    <row r="503">
      <c r="A503" s="60" t="n"/>
      <c r="B503" s="65">
        <f>IF(A503="","",IFERROR(INDEX(Bestand!$B$14:$B$213,MATCH(A503,Bestand!$A$14:$A$213,0)),"ID unbekannt"))</f>
        <v/>
      </c>
      <c r="C503" s="63" t="n"/>
      <c r="D503" s="61" t="n"/>
      <c r="E503" s="60" t="n"/>
      <c r="F503" s="61" t="n"/>
    </row>
    <row r="504">
      <c r="A504" s="60" t="n"/>
      <c r="B504" s="65">
        <f>IF(A504="","",IFERROR(INDEX(Bestand!$B$14:$B$213,MATCH(A504,Bestand!$A$14:$A$213,0)),"ID unbekannt"))</f>
        <v/>
      </c>
      <c r="C504" s="63" t="n"/>
      <c r="D504" s="61" t="n"/>
      <c r="E504" s="60" t="n"/>
      <c r="F504" s="61" t="n"/>
    </row>
    <row r="505">
      <c r="A505" s="60" t="n"/>
      <c r="B505" s="65">
        <f>IF(A505="","",IFERROR(INDEX(Bestand!$B$14:$B$213,MATCH(A505,Bestand!$A$14:$A$213,0)),"ID unbekannt"))</f>
        <v/>
      </c>
      <c r="C505" s="63" t="n"/>
      <c r="D505" s="61" t="n"/>
      <c r="E505" s="60" t="n"/>
      <c r="F505" s="61" t="n"/>
    </row>
    <row r="506">
      <c r="A506" s="60" t="n"/>
      <c r="B506" s="65">
        <f>IF(A506="","",IFERROR(INDEX(Bestand!$B$14:$B$213,MATCH(A506,Bestand!$A$14:$A$213,0)),"ID unbekannt"))</f>
        <v/>
      </c>
      <c r="C506" s="63" t="n"/>
      <c r="D506" s="61" t="n"/>
      <c r="E506" s="60" t="n"/>
      <c r="F506" s="61" t="n"/>
    </row>
    <row r="507">
      <c r="A507" s="60" t="n"/>
      <c r="B507" s="65">
        <f>IF(A507="","",IFERROR(INDEX(Bestand!$B$14:$B$213,MATCH(A507,Bestand!$A$14:$A$213,0)),"ID unbekannt"))</f>
        <v/>
      </c>
      <c r="C507" s="63" t="n"/>
      <c r="D507" s="61" t="n"/>
      <c r="E507" s="60" t="n"/>
      <c r="F507" s="61" t="n"/>
    </row>
    <row r="508">
      <c r="A508" s="60" t="n"/>
      <c r="B508" s="65">
        <f>IF(A508="","",IFERROR(INDEX(Bestand!$B$14:$B$213,MATCH(A508,Bestand!$A$14:$A$213,0)),"ID unbekannt"))</f>
        <v/>
      </c>
      <c r="C508" s="63" t="n"/>
      <c r="D508" s="61" t="n"/>
      <c r="E508" s="60" t="n"/>
      <c r="F508" s="61" t="n"/>
    </row>
    <row r="509">
      <c r="A509" s="60" t="n"/>
      <c r="B509" s="65">
        <f>IF(A509="","",IFERROR(INDEX(Bestand!$B$14:$B$213,MATCH(A509,Bestand!$A$14:$A$213,0)),"ID unbekannt"))</f>
        <v/>
      </c>
      <c r="C509" s="63" t="n"/>
      <c r="D509" s="61" t="n"/>
      <c r="E509" s="60" t="n"/>
      <c r="F509" s="61" t="n"/>
    </row>
    <row r="510">
      <c r="A510" s="60" t="n"/>
      <c r="B510" s="65">
        <f>IF(A510="","",IFERROR(INDEX(Bestand!$B$14:$B$213,MATCH(A510,Bestand!$A$14:$A$213,0)),"ID unbekannt"))</f>
        <v/>
      </c>
      <c r="C510" s="63" t="n"/>
      <c r="D510" s="61" t="n"/>
      <c r="E510" s="60" t="n"/>
      <c r="F510" s="61" t="n"/>
    </row>
    <row r="511">
      <c r="A511" s="60" t="n"/>
      <c r="B511" s="65">
        <f>IF(A511="","",IFERROR(INDEX(Bestand!$B$14:$B$213,MATCH(A511,Bestand!$A$14:$A$213,0)),"ID unbekannt"))</f>
        <v/>
      </c>
      <c r="C511" s="63" t="n"/>
      <c r="D511" s="61" t="n"/>
      <c r="E511" s="60" t="n"/>
      <c r="F511" s="61" t="n"/>
    </row>
    <row r="512">
      <c r="A512" s="60" t="n"/>
      <c r="B512" s="65">
        <f>IF(A512="","",IFERROR(INDEX(Bestand!$B$14:$B$213,MATCH(A512,Bestand!$A$14:$A$213,0)),"ID unbekannt"))</f>
        <v/>
      </c>
      <c r="C512" s="63" t="n"/>
      <c r="D512" s="61" t="n"/>
      <c r="E512" s="60" t="n"/>
      <c r="F512" s="61" t="n"/>
    </row>
    <row r="513">
      <c r="A513" s="60" t="n"/>
      <c r="B513" s="65">
        <f>IF(A513="","",IFERROR(INDEX(Bestand!$B$14:$B$213,MATCH(A513,Bestand!$A$14:$A$213,0)),"ID unbekannt"))</f>
        <v/>
      </c>
      <c r="C513" s="63" t="n"/>
      <c r="D513" s="61" t="n"/>
      <c r="E513" s="60" t="n"/>
      <c r="F513" s="61" t="n"/>
    </row>
    <row r="514">
      <c r="A514" s="60" t="n"/>
      <c r="B514" s="65">
        <f>IF(A514="","",IFERROR(INDEX(Bestand!$B$14:$B$213,MATCH(A514,Bestand!$A$14:$A$213,0)),"ID unbekannt"))</f>
        <v/>
      </c>
      <c r="C514" s="63" t="n"/>
      <c r="D514" s="61" t="n"/>
      <c r="E514" s="60" t="n"/>
      <c r="F514" s="61" t="n"/>
    </row>
    <row r="515">
      <c r="A515" s="60" t="n"/>
      <c r="B515" s="65">
        <f>IF(A515="","",IFERROR(INDEX(Bestand!$B$14:$B$213,MATCH(A515,Bestand!$A$14:$A$213,0)),"ID unbekannt"))</f>
        <v/>
      </c>
      <c r="C515" s="63" t="n"/>
      <c r="D515" s="61" t="n"/>
      <c r="E515" s="60" t="n"/>
      <c r="F515" s="61" t="n"/>
    </row>
    <row r="516">
      <c r="A516" s="60" t="n"/>
      <c r="B516" s="65">
        <f>IF(A516="","",IFERROR(INDEX(Bestand!$B$14:$B$213,MATCH(A516,Bestand!$A$14:$A$213,0)),"ID unbekannt"))</f>
        <v/>
      </c>
      <c r="C516" s="63" t="n"/>
      <c r="D516" s="61" t="n"/>
      <c r="E516" s="60" t="n"/>
      <c r="F516" s="61" t="n"/>
    </row>
    <row r="517">
      <c r="A517" s="60" t="n"/>
      <c r="B517" s="65">
        <f>IF(A517="","",IFERROR(INDEX(Bestand!$B$14:$B$213,MATCH(A517,Bestand!$A$14:$A$213,0)),"ID unbekannt"))</f>
        <v/>
      </c>
      <c r="C517" s="63" t="n"/>
      <c r="D517" s="61" t="n"/>
      <c r="E517" s="60" t="n"/>
      <c r="F517" s="61" t="n"/>
    </row>
    <row r="518">
      <c r="A518" s="60" t="n"/>
      <c r="B518" s="65">
        <f>IF(A518="","",IFERROR(INDEX(Bestand!$B$14:$B$213,MATCH(A518,Bestand!$A$14:$A$213,0)),"ID unbekannt"))</f>
        <v/>
      </c>
      <c r="C518" s="63" t="n"/>
      <c r="D518" s="61" t="n"/>
      <c r="E518" s="60" t="n"/>
      <c r="F518" s="61" t="n"/>
    </row>
    <row r="519">
      <c r="A519" s="60" t="n"/>
      <c r="B519" s="65">
        <f>IF(A519="","",IFERROR(INDEX(Bestand!$B$14:$B$213,MATCH(A519,Bestand!$A$14:$A$213,0)),"ID unbekannt"))</f>
        <v/>
      </c>
      <c r="C519" s="63" t="n"/>
      <c r="D519" s="61" t="n"/>
      <c r="E519" s="60" t="n"/>
      <c r="F519" s="61" t="n"/>
    </row>
    <row r="520">
      <c r="A520" s="60" t="n"/>
      <c r="B520" s="65">
        <f>IF(A520="","",IFERROR(INDEX(Bestand!$B$14:$B$213,MATCH(A520,Bestand!$A$14:$A$213,0)),"ID unbekannt"))</f>
        <v/>
      </c>
      <c r="C520" s="63" t="n"/>
      <c r="D520" s="61" t="n"/>
      <c r="E520" s="60" t="n"/>
      <c r="F520" s="61" t="n"/>
    </row>
    <row r="521">
      <c r="A521" s="60" t="n"/>
      <c r="B521" s="65">
        <f>IF(A521="","",IFERROR(INDEX(Bestand!$B$14:$B$213,MATCH(A521,Bestand!$A$14:$A$213,0)),"ID unbekannt"))</f>
        <v/>
      </c>
      <c r="C521" s="63" t="n"/>
      <c r="D521" s="61" t="n"/>
      <c r="E521" s="60" t="n"/>
      <c r="F521" s="61" t="n"/>
    </row>
    <row r="522">
      <c r="A522" s="60" t="n"/>
      <c r="B522" s="65">
        <f>IF(A522="","",IFERROR(INDEX(Bestand!$B$14:$B$213,MATCH(A522,Bestand!$A$14:$A$213,0)),"ID unbekannt"))</f>
        <v/>
      </c>
      <c r="C522" s="63" t="n"/>
      <c r="D522" s="61" t="n"/>
      <c r="E522" s="60" t="n"/>
      <c r="F522" s="61" t="n"/>
    </row>
    <row r="523">
      <c r="A523" s="60" t="n"/>
      <c r="B523" s="65">
        <f>IF(A523="","",IFERROR(INDEX(Bestand!$B$14:$B$213,MATCH(A523,Bestand!$A$14:$A$213,0)),"ID unbekannt"))</f>
        <v/>
      </c>
      <c r="C523" s="63" t="n"/>
      <c r="D523" s="61" t="n"/>
      <c r="E523" s="60" t="n"/>
      <c r="F523" s="61" t="n"/>
    </row>
    <row r="524">
      <c r="A524" s="60" t="n"/>
      <c r="B524" s="65">
        <f>IF(A524="","",IFERROR(INDEX(Bestand!$B$14:$B$213,MATCH(A524,Bestand!$A$14:$A$213,0)),"ID unbekannt"))</f>
        <v/>
      </c>
      <c r="C524" s="63" t="n"/>
      <c r="D524" s="61" t="n"/>
      <c r="E524" s="60" t="n"/>
      <c r="F524" s="61" t="n"/>
    </row>
    <row r="525">
      <c r="A525" s="60" t="n"/>
      <c r="B525" s="65">
        <f>IF(A525="","",IFERROR(INDEX(Bestand!$B$14:$B$213,MATCH(A525,Bestand!$A$14:$A$213,0)),"ID unbekannt"))</f>
        <v/>
      </c>
      <c r="C525" s="63" t="n"/>
      <c r="D525" s="61" t="n"/>
      <c r="E525" s="60" t="n"/>
      <c r="F525" s="61" t="n"/>
    </row>
    <row r="526">
      <c r="A526" s="60" t="n"/>
      <c r="B526" s="65">
        <f>IF(A526="","",IFERROR(INDEX(Bestand!$B$14:$B$213,MATCH(A526,Bestand!$A$14:$A$213,0)),"ID unbekannt"))</f>
        <v/>
      </c>
      <c r="C526" s="63" t="n"/>
      <c r="D526" s="61" t="n"/>
      <c r="E526" s="60" t="n"/>
      <c r="F526" s="61" t="n"/>
    </row>
    <row r="527">
      <c r="A527" s="60" t="n"/>
      <c r="B527" s="65">
        <f>IF(A527="","",IFERROR(INDEX(Bestand!$B$14:$B$213,MATCH(A527,Bestand!$A$14:$A$213,0)),"ID unbekannt"))</f>
        <v/>
      </c>
      <c r="C527" s="63" t="n"/>
      <c r="D527" s="61" t="n"/>
      <c r="E527" s="60" t="n"/>
      <c r="F527" s="61" t="n"/>
    </row>
    <row r="528">
      <c r="A528" s="60" t="n"/>
      <c r="B528" s="65">
        <f>IF(A528="","",IFERROR(INDEX(Bestand!$B$14:$B$213,MATCH(A528,Bestand!$A$14:$A$213,0)),"ID unbekannt"))</f>
        <v/>
      </c>
      <c r="C528" s="63" t="n"/>
      <c r="D528" s="61" t="n"/>
      <c r="E528" s="60" t="n"/>
      <c r="F528" s="61" t="n"/>
    </row>
    <row r="529">
      <c r="A529" s="60" t="n"/>
      <c r="B529" s="65">
        <f>IF(A529="","",IFERROR(INDEX(Bestand!$B$14:$B$213,MATCH(A529,Bestand!$A$14:$A$213,0)),"ID unbekannt"))</f>
        <v/>
      </c>
      <c r="C529" s="63" t="n"/>
      <c r="D529" s="61" t="n"/>
      <c r="E529" s="60" t="n"/>
      <c r="F529" s="61" t="n"/>
    </row>
    <row r="530">
      <c r="A530" s="60" t="n"/>
      <c r="B530" s="65">
        <f>IF(A530="","",IFERROR(INDEX(Bestand!$B$14:$B$213,MATCH(A530,Bestand!$A$14:$A$213,0)),"ID unbekannt"))</f>
        <v/>
      </c>
      <c r="C530" s="63" t="n"/>
      <c r="D530" s="61" t="n"/>
      <c r="E530" s="60" t="n"/>
      <c r="F530" s="61" t="n"/>
    </row>
    <row r="531">
      <c r="A531" s="60" t="n"/>
      <c r="B531" s="65">
        <f>IF(A531="","",IFERROR(INDEX(Bestand!$B$14:$B$213,MATCH(A531,Bestand!$A$14:$A$213,0)),"ID unbekannt"))</f>
        <v/>
      </c>
      <c r="C531" s="63" t="n"/>
      <c r="D531" s="61" t="n"/>
      <c r="E531" s="60" t="n"/>
      <c r="F531" s="61" t="n"/>
    </row>
    <row r="532">
      <c r="A532" s="60" t="n"/>
      <c r="B532" s="65">
        <f>IF(A532="","",IFERROR(INDEX(Bestand!$B$14:$B$213,MATCH(A532,Bestand!$A$14:$A$213,0)),"ID unbekannt"))</f>
        <v/>
      </c>
      <c r="C532" s="63" t="n"/>
      <c r="D532" s="61" t="n"/>
      <c r="E532" s="60" t="n"/>
      <c r="F532" s="61" t="n"/>
    </row>
    <row r="533">
      <c r="A533" s="60" t="n"/>
      <c r="B533" s="65">
        <f>IF(A533="","",IFERROR(INDEX(Bestand!$B$14:$B$213,MATCH(A533,Bestand!$A$14:$A$213,0)),"ID unbekannt"))</f>
        <v/>
      </c>
      <c r="C533" s="63" t="n"/>
      <c r="D533" s="61" t="n"/>
      <c r="E533" s="60" t="n"/>
      <c r="F533" s="61" t="n"/>
    </row>
    <row r="534">
      <c r="A534" s="60" t="n"/>
      <c r="B534" s="65">
        <f>IF(A534="","",IFERROR(INDEX(Bestand!$B$14:$B$213,MATCH(A534,Bestand!$A$14:$A$213,0)),"ID unbekannt"))</f>
        <v/>
      </c>
      <c r="C534" s="63" t="n"/>
      <c r="D534" s="61" t="n"/>
      <c r="E534" s="60" t="n"/>
      <c r="F534" s="61" t="n"/>
    </row>
    <row r="535">
      <c r="A535" s="60" t="n"/>
      <c r="B535" s="65">
        <f>IF(A535="","",IFERROR(INDEX(Bestand!$B$14:$B$213,MATCH(A535,Bestand!$A$14:$A$213,0)),"ID unbekannt"))</f>
        <v/>
      </c>
      <c r="C535" s="63" t="n"/>
      <c r="D535" s="61" t="n"/>
      <c r="E535" s="60" t="n"/>
      <c r="F535" s="61" t="n"/>
    </row>
    <row r="536">
      <c r="A536" s="60" t="n"/>
      <c r="B536" s="65">
        <f>IF(A536="","",IFERROR(INDEX(Bestand!$B$14:$B$213,MATCH(A536,Bestand!$A$14:$A$213,0)),"ID unbekannt"))</f>
        <v/>
      </c>
      <c r="C536" s="63" t="n"/>
      <c r="D536" s="61" t="n"/>
      <c r="E536" s="60" t="n"/>
      <c r="F536" s="61" t="n"/>
    </row>
    <row r="537">
      <c r="A537" s="60" t="n"/>
      <c r="B537" s="65">
        <f>IF(A537="","",IFERROR(INDEX(Bestand!$B$14:$B$213,MATCH(A537,Bestand!$A$14:$A$213,0)),"ID unbekannt"))</f>
        <v/>
      </c>
      <c r="C537" s="63" t="n"/>
      <c r="D537" s="61" t="n"/>
      <c r="E537" s="60" t="n"/>
      <c r="F537" s="61" t="n"/>
    </row>
    <row r="538">
      <c r="A538" s="60" t="n"/>
      <c r="B538" s="65">
        <f>IF(A538="","",IFERROR(INDEX(Bestand!$B$14:$B$213,MATCH(A538,Bestand!$A$14:$A$213,0)),"ID unbekannt"))</f>
        <v/>
      </c>
      <c r="C538" s="63" t="n"/>
      <c r="D538" s="61" t="n"/>
      <c r="E538" s="60" t="n"/>
      <c r="F538" s="61" t="n"/>
    </row>
    <row r="539">
      <c r="A539" s="60" t="n"/>
      <c r="B539" s="65">
        <f>IF(A539="","",IFERROR(INDEX(Bestand!$B$14:$B$213,MATCH(A539,Bestand!$A$14:$A$213,0)),"ID unbekannt"))</f>
        <v/>
      </c>
      <c r="C539" s="63" t="n"/>
      <c r="D539" s="61" t="n"/>
      <c r="E539" s="60" t="n"/>
      <c r="F539" s="61" t="n"/>
    </row>
    <row r="540">
      <c r="A540" s="60" t="n"/>
      <c r="B540" s="65">
        <f>IF(A540="","",IFERROR(INDEX(Bestand!$B$14:$B$213,MATCH(A540,Bestand!$A$14:$A$213,0)),"ID unbekannt"))</f>
        <v/>
      </c>
      <c r="C540" s="63" t="n"/>
      <c r="D540" s="61" t="n"/>
      <c r="E540" s="60" t="n"/>
      <c r="F540" s="61" t="n"/>
    </row>
    <row r="541">
      <c r="A541" s="60" t="n"/>
      <c r="B541" s="65">
        <f>IF(A541="","",IFERROR(INDEX(Bestand!$B$14:$B$213,MATCH(A541,Bestand!$A$14:$A$213,0)),"ID unbekannt"))</f>
        <v/>
      </c>
      <c r="C541" s="63" t="n"/>
      <c r="D541" s="61" t="n"/>
      <c r="E541" s="60" t="n"/>
      <c r="F541" s="61" t="n"/>
    </row>
    <row r="542">
      <c r="A542" s="60" t="n"/>
      <c r="B542" s="65">
        <f>IF(A542="","",IFERROR(INDEX(Bestand!$B$14:$B$213,MATCH(A542,Bestand!$A$14:$A$213,0)),"ID unbekannt"))</f>
        <v/>
      </c>
      <c r="C542" s="63" t="n"/>
      <c r="D542" s="61" t="n"/>
      <c r="E542" s="60" t="n"/>
      <c r="F542" s="61" t="n"/>
    </row>
    <row r="543">
      <c r="A543" s="60" t="n"/>
      <c r="B543" s="65">
        <f>IF(A543="","",IFERROR(INDEX(Bestand!$B$14:$B$213,MATCH(A543,Bestand!$A$14:$A$213,0)),"ID unbekannt"))</f>
        <v/>
      </c>
      <c r="C543" s="63" t="n"/>
      <c r="D543" s="61" t="n"/>
      <c r="E543" s="60" t="n"/>
      <c r="F543" s="61" t="n"/>
    </row>
    <row r="544">
      <c r="A544" s="60" t="n"/>
      <c r="B544" s="65">
        <f>IF(A544="","",IFERROR(INDEX(Bestand!$B$14:$B$213,MATCH(A544,Bestand!$A$14:$A$213,0)),"ID unbekannt"))</f>
        <v/>
      </c>
      <c r="C544" s="63" t="n"/>
      <c r="D544" s="61" t="n"/>
      <c r="E544" s="60" t="n"/>
      <c r="F544" s="61" t="n"/>
    </row>
    <row r="545">
      <c r="A545" s="60" t="n"/>
      <c r="B545" s="65">
        <f>IF(A545="","",IFERROR(INDEX(Bestand!$B$14:$B$213,MATCH(A545,Bestand!$A$14:$A$213,0)),"ID unbekannt"))</f>
        <v/>
      </c>
      <c r="C545" s="63" t="n"/>
      <c r="D545" s="61" t="n"/>
      <c r="E545" s="60" t="n"/>
      <c r="F545" s="61" t="n"/>
    </row>
    <row r="546">
      <c r="A546" s="60" t="n"/>
      <c r="B546" s="65">
        <f>IF(A546="","",IFERROR(INDEX(Bestand!$B$14:$B$213,MATCH(A546,Bestand!$A$14:$A$213,0)),"ID unbekannt"))</f>
        <v/>
      </c>
      <c r="C546" s="63" t="n"/>
      <c r="D546" s="61" t="n"/>
      <c r="E546" s="60" t="n"/>
      <c r="F546" s="61" t="n"/>
    </row>
    <row r="547">
      <c r="A547" s="60" t="n"/>
      <c r="B547" s="65">
        <f>IF(A547="","",IFERROR(INDEX(Bestand!$B$14:$B$213,MATCH(A547,Bestand!$A$14:$A$213,0)),"ID unbekannt"))</f>
        <v/>
      </c>
      <c r="C547" s="63" t="n"/>
      <c r="D547" s="61" t="n"/>
      <c r="E547" s="60" t="n"/>
      <c r="F547" s="61" t="n"/>
    </row>
    <row r="548">
      <c r="A548" s="60" t="n"/>
      <c r="B548" s="65">
        <f>IF(A548="","",IFERROR(INDEX(Bestand!$B$14:$B$213,MATCH(A548,Bestand!$A$14:$A$213,0)),"ID unbekannt"))</f>
        <v/>
      </c>
      <c r="C548" s="63" t="n"/>
      <c r="D548" s="61" t="n"/>
      <c r="E548" s="60" t="n"/>
      <c r="F548" s="61" t="n"/>
    </row>
    <row r="549">
      <c r="A549" s="60" t="n"/>
      <c r="B549" s="65">
        <f>IF(A549="","",IFERROR(INDEX(Bestand!$B$14:$B$213,MATCH(A549,Bestand!$A$14:$A$213,0)),"ID unbekannt"))</f>
        <v/>
      </c>
      <c r="C549" s="63" t="n"/>
      <c r="D549" s="61" t="n"/>
      <c r="E549" s="60" t="n"/>
      <c r="F549" s="61" t="n"/>
    </row>
    <row r="550">
      <c r="A550" s="60" t="n"/>
      <c r="B550" s="65">
        <f>IF(A550="","",IFERROR(INDEX(Bestand!$B$14:$B$213,MATCH(A550,Bestand!$A$14:$A$213,0)),"ID unbekannt"))</f>
        <v/>
      </c>
      <c r="C550" s="63" t="n"/>
      <c r="D550" s="61" t="n"/>
      <c r="E550" s="60" t="n"/>
      <c r="F550" s="61" t="n"/>
    </row>
    <row r="551">
      <c r="A551" s="60" t="n"/>
      <c r="B551" s="65">
        <f>IF(A551="","",IFERROR(INDEX(Bestand!$B$14:$B$213,MATCH(A551,Bestand!$A$14:$A$213,0)),"ID unbekannt"))</f>
        <v/>
      </c>
      <c r="C551" s="63" t="n"/>
      <c r="D551" s="61" t="n"/>
      <c r="E551" s="60" t="n"/>
      <c r="F551" s="61" t="n"/>
    </row>
    <row r="552">
      <c r="A552" s="60" t="n"/>
      <c r="B552" s="65">
        <f>IF(A552="","",IFERROR(INDEX(Bestand!$B$14:$B$213,MATCH(A552,Bestand!$A$14:$A$213,0)),"ID unbekannt"))</f>
        <v/>
      </c>
      <c r="C552" s="63" t="n"/>
      <c r="D552" s="61" t="n"/>
      <c r="E552" s="60" t="n"/>
      <c r="F552" s="61" t="n"/>
    </row>
    <row r="553">
      <c r="A553" s="60" t="n"/>
      <c r="B553" s="65">
        <f>IF(A553="","",IFERROR(INDEX(Bestand!$B$14:$B$213,MATCH(A553,Bestand!$A$14:$A$213,0)),"ID unbekannt"))</f>
        <v/>
      </c>
      <c r="C553" s="63" t="n"/>
      <c r="D553" s="61" t="n"/>
      <c r="E553" s="60" t="n"/>
      <c r="F553" s="61" t="n"/>
    </row>
    <row r="554">
      <c r="A554" s="60" t="n"/>
      <c r="B554" s="65">
        <f>IF(A554="","",IFERROR(INDEX(Bestand!$B$14:$B$213,MATCH(A554,Bestand!$A$14:$A$213,0)),"ID unbekannt"))</f>
        <v/>
      </c>
      <c r="C554" s="63" t="n"/>
      <c r="D554" s="61" t="n"/>
      <c r="E554" s="60" t="n"/>
      <c r="F554" s="61" t="n"/>
    </row>
    <row r="555">
      <c r="A555" s="60" t="n"/>
      <c r="B555" s="65">
        <f>IF(A555="","",IFERROR(INDEX(Bestand!$B$14:$B$213,MATCH(A555,Bestand!$A$14:$A$213,0)),"ID unbekannt"))</f>
        <v/>
      </c>
      <c r="C555" s="63" t="n"/>
      <c r="D555" s="61" t="n"/>
      <c r="E555" s="60" t="n"/>
      <c r="F555" s="61" t="n"/>
    </row>
    <row r="556">
      <c r="A556" s="60" t="n"/>
      <c r="B556" s="65">
        <f>IF(A556="","",IFERROR(INDEX(Bestand!$B$14:$B$213,MATCH(A556,Bestand!$A$14:$A$213,0)),"ID unbekannt"))</f>
        <v/>
      </c>
      <c r="C556" s="63" t="n"/>
      <c r="D556" s="61" t="n"/>
      <c r="E556" s="60" t="n"/>
      <c r="F556" s="61" t="n"/>
    </row>
    <row r="557">
      <c r="A557" s="60" t="n"/>
      <c r="B557" s="65">
        <f>IF(A557="","",IFERROR(INDEX(Bestand!$B$14:$B$213,MATCH(A557,Bestand!$A$14:$A$213,0)),"ID unbekannt"))</f>
        <v/>
      </c>
      <c r="C557" s="63" t="n"/>
      <c r="D557" s="61" t="n"/>
      <c r="E557" s="60" t="n"/>
      <c r="F557" s="61" t="n"/>
    </row>
    <row r="558">
      <c r="A558" s="60" t="n"/>
      <c r="B558" s="65">
        <f>IF(A558="","",IFERROR(INDEX(Bestand!$B$14:$B$213,MATCH(A558,Bestand!$A$14:$A$213,0)),"ID unbekannt"))</f>
        <v/>
      </c>
      <c r="C558" s="63" t="n"/>
      <c r="D558" s="61" t="n"/>
      <c r="E558" s="60" t="n"/>
      <c r="F558" s="61" t="n"/>
    </row>
    <row r="559">
      <c r="A559" s="60" t="n"/>
      <c r="B559" s="65">
        <f>IF(A559="","",IFERROR(INDEX(Bestand!$B$14:$B$213,MATCH(A559,Bestand!$A$14:$A$213,0)),"ID unbekannt"))</f>
        <v/>
      </c>
      <c r="C559" s="63" t="n"/>
      <c r="D559" s="61" t="n"/>
      <c r="E559" s="60" t="n"/>
      <c r="F559" s="61" t="n"/>
    </row>
    <row r="560">
      <c r="A560" s="60" t="n"/>
      <c r="B560" s="65">
        <f>IF(A560="","",IFERROR(INDEX(Bestand!$B$14:$B$213,MATCH(A560,Bestand!$A$14:$A$213,0)),"ID unbekannt"))</f>
        <v/>
      </c>
      <c r="C560" s="63" t="n"/>
      <c r="D560" s="61" t="n"/>
      <c r="E560" s="60" t="n"/>
      <c r="F560" s="61" t="n"/>
    </row>
    <row r="561">
      <c r="A561" s="60" t="n"/>
      <c r="B561" s="65">
        <f>IF(A561="","",IFERROR(INDEX(Bestand!$B$14:$B$213,MATCH(A561,Bestand!$A$14:$A$213,0)),"ID unbekannt"))</f>
        <v/>
      </c>
      <c r="C561" s="63" t="n"/>
      <c r="D561" s="61" t="n"/>
      <c r="E561" s="60" t="n"/>
      <c r="F561" s="61" t="n"/>
    </row>
    <row r="562">
      <c r="A562" s="60" t="n"/>
      <c r="B562" s="65">
        <f>IF(A562="","",IFERROR(INDEX(Bestand!$B$14:$B$213,MATCH(A562,Bestand!$A$14:$A$213,0)),"ID unbekannt"))</f>
        <v/>
      </c>
      <c r="C562" s="63" t="n"/>
      <c r="D562" s="61" t="n"/>
      <c r="E562" s="60" t="n"/>
      <c r="F562" s="61" t="n"/>
    </row>
    <row r="563">
      <c r="A563" s="60" t="n"/>
      <c r="B563" s="65">
        <f>IF(A563="","",IFERROR(INDEX(Bestand!$B$14:$B$213,MATCH(A563,Bestand!$A$14:$A$213,0)),"ID unbekannt"))</f>
        <v/>
      </c>
      <c r="C563" s="63" t="n"/>
      <c r="D563" s="61" t="n"/>
      <c r="E563" s="60" t="n"/>
      <c r="F563" s="61" t="n"/>
    </row>
    <row r="564">
      <c r="A564" s="60" t="n"/>
      <c r="B564" s="65">
        <f>IF(A564="","",IFERROR(INDEX(Bestand!$B$14:$B$213,MATCH(A564,Bestand!$A$14:$A$213,0)),"ID unbekannt"))</f>
        <v/>
      </c>
      <c r="C564" s="63" t="n"/>
      <c r="D564" s="61" t="n"/>
      <c r="E564" s="60" t="n"/>
      <c r="F564" s="61" t="n"/>
    </row>
    <row r="565">
      <c r="A565" s="60" t="n"/>
      <c r="B565" s="65">
        <f>IF(A565="","",IFERROR(INDEX(Bestand!$B$14:$B$213,MATCH(A565,Bestand!$A$14:$A$213,0)),"ID unbekannt"))</f>
        <v/>
      </c>
      <c r="C565" s="63" t="n"/>
      <c r="D565" s="61" t="n"/>
      <c r="E565" s="60" t="n"/>
      <c r="F565" s="61" t="n"/>
    </row>
    <row r="566">
      <c r="A566" s="60" t="n"/>
      <c r="B566" s="65">
        <f>IF(A566="","",IFERROR(INDEX(Bestand!$B$14:$B$213,MATCH(A566,Bestand!$A$14:$A$213,0)),"ID unbekannt"))</f>
        <v/>
      </c>
      <c r="C566" s="63" t="n"/>
      <c r="D566" s="61" t="n"/>
      <c r="E566" s="60" t="n"/>
      <c r="F566" s="61" t="n"/>
    </row>
    <row r="567">
      <c r="A567" s="60" t="n"/>
      <c r="B567" s="65">
        <f>IF(A567="","",IFERROR(INDEX(Bestand!$B$14:$B$213,MATCH(A567,Bestand!$A$14:$A$213,0)),"ID unbekannt"))</f>
        <v/>
      </c>
      <c r="C567" s="63" t="n"/>
      <c r="D567" s="61" t="n"/>
      <c r="E567" s="60" t="n"/>
      <c r="F567" s="61" t="n"/>
    </row>
    <row r="568">
      <c r="A568" s="60" t="n"/>
      <c r="B568" s="65">
        <f>IF(A568="","",IFERROR(INDEX(Bestand!$B$14:$B$213,MATCH(A568,Bestand!$A$14:$A$213,0)),"ID unbekannt"))</f>
        <v/>
      </c>
      <c r="C568" s="63" t="n"/>
      <c r="D568" s="61" t="n"/>
      <c r="E568" s="60" t="n"/>
      <c r="F568" s="61" t="n"/>
    </row>
    <row r="569">
      <c r="A569" s="60" t="n"/>
      <c r="B569" s="65">
        <f>IF(A569="","",IFERROR(INDEX(Bestand!$B$14:$B$213,MATCH(A569,Bestand!$A$14:$A$213,0)),"ID unbekannt"))</f>
        <v/>
      </c>
      <c r="C569" s="63" t="n"/>
      <c r="D569" s="61" t="n"/>
      <c r="E569" s="60" t="n"/>
      <c r="F569" s="61" t="n"/>
    </row>
    <row r="570">
      <c r="A570" s="60" t="n"/>
      <c r="B570" s="65">
        <f>IF(A570="","",IFERROR(INDEX(Bestand!$B$14:$B$213,MATCH(A570,Bestand!$A$14:$A$213,0)),"ID unbekannt"))</f>
        <v/>
      </c>
      <c r="C570" s="63" t="n"/>
      <c r="D570" s="61" t="n"/>
      <c r="E570" s="60" t="n"/>
      <c r="F570" s="61" t="n"/>
    </row>
    <row r="571">
      <c r="A571" s="60" t="n"/>
      <c r="B571" s="65">
        <f>IF(A571="","",IFERROR(INDEX(Bestand!$B$14:$B$213,MATCH(A571,Bestand!$A$14:$A$213,0)),"ID unbekannt"))</f>
        <v/>
      </c>
      <c r="C571" s="63" t="n"/>
      <c r="D571" s="61" t="n"/>
      <c r="E571" s="60" t="n"/>
      <c r="F571" s="61" t="n"/>
    </row>
    <row r="572">
      <c r="A572" s="60" t="n"/>
      <c r="B572" s="65">
        <f>IF(A572="","",IFERROR(INDEX(Bestand!$B$14:$B$213,MATCH(A572,Bestand!$A$14:$A$213,0)),"ID unbekannt"))</f>
        <v/>
      </c>
      <c r="C572" s="63" t="n"/>
      <c r="D572" s="61" t="n"/>
      <c r="E572" s="60" t="n"/>
      <c r="F572" s="61" t="n"/>
    </row>
    <row r="573">
      <c r="A573" s="60" t="n"/>
      <c r="B573" s="65">
        <f>IF(A573="","",IFERROR(INDEX(Bestand!$B$14:$B$213,MATCH(A573,Bestand!$A$14:$A$213,0)),"ID unbekannt"))</f>
        <v/>
      </c>
      <c r="C573" s="63" t="n"/>
      <c r="D573" s="61" t="n"/>
      <c r="E573" s="60" t="n"/>
      <c r="F573" s="61" t="n"/>
    </row>
    <row r="574">
      <c r="A574" s="60" t="n"/>
      <c r="B574" s="65">
        <f>IF(A574="","",IFERROR(INDEX(Bestand!$B$14:$B$213,MATCH(A574,Bestand!$A$14:$A$213,0)),"ID unbekannt"))</f>
        <v/>
      </c>
      <c r="C574" s="63" t="n"/>
      <c r="D574" s="61" t="n"/>
      <c r="E574" s="60" t="n"/>
      <c r="F574" s="61" t="n"/>
    </row>
    <row r="575">
      <c r="A575" s="60" t="n"/>
      <c r="B575" s="65">
        <f>IF(A575="","",IFERROR(INDEX(Bestand!$B$14:$B$213,MATCH(A575,Bestand!$A$14:$A$213,0)),"ID unbekannt"))</f>
        <v/>
      </c>
      <c r="C575" s="63" t="n"/>
      <c r="D575" s="61" t="n"/>
      <c r="E575" s="60" t="n"/>
      <c r="F575" s="61" t="n"/>
    </row>
    <row r="576">
      <c r="A576" s="60" t="n"/>
      <c r="B576" s="65">
        <f>IF(A576="","",IFERROR(INDEX(Bestand!$B$14:$B$213,MATCH(A576,Bestand!$A$14:$A$213,0)),"ID unbekannt"))</f>
        <v/>
      </c>
      <c r="C576" s="63" t="n"/>
      <c r="D576" s="61" t="n"/>
      <c r="E576" s="60" t="n"/>
      <c r="F576" s="61" t="n"/>
    </row>
    <row r="577">
      <c r="A577" s="60" t="n"/>
      <c r="B577" s="65">
        <f>IF(A577="","",IFERROR(INDEX(Bestand!$B$14:$B$213,MATCH(A577,Bestand!$A$14:$A$213,0)),"ID unbekannt"))</f>
        <v/>
      </c>
      <c r="C577" s="63" t="n"/>
      <c r="D577" s="61" t="n"/>
      <c r="E577" s="60" t="n"/>
      <c r="F577" s="61" t="n"/>
    </row>
    <row r="578">
      <c r="A578" s="60" t="n"/>
      <c r="B578" s="65">
        <f>IF(A578="","",IFERROR(INDEX(Bestand!$B$14:$B$213,MATCH(A578,Bestand!$A$14:$A$213,0)),"ID unbekannt"))</f>
        <v/>
      </c>
      <c r="C578" s="63" t="n"/>
      <c r="D578" s="61" t="n"/>
      <c r="E578" s="60" t="n"/>
      <c r="F578" s="61" t="n"/>
    </row>
    <row r="579">
      <c r="A579" s="60" t="n"/>
      <c r="B579" s="65">
        <f>IF(A579="","",IFERROR(INDEX(Bestand!$B$14:$B$213,MATCH(A579,Bestand!$A$14:$A$213,0)),"ID unbekannt"))</f>
        <v/>
      </c>
      <c r="C579" s="63" t="n"/>
      <c r="D579" s="61" t="n"/>
      <c r="E579" s="60" t="n"/>
      <c r="F579" s="61" t="n"/>
    </row>
    <row r="580">
      <c r="A580" s="60" t="n"/>
      <c r="B580" s="65">
        <f>IF(A580="","",IFERROR(INDEX(Bestand!$B$14:$B$213,MATCH(A580,Bestand!$A$14:$A$213,0)),"ID unbekannt"))</f>
        <v/>
      </c>
      <c r="C580" s="63" t="n"/>
      <c r="D580" s="61" t="n"/>
      <c r="E580" s="60" t="n"/>
      <c r="F580" s="61" t="n"/>
    </row>
    <row r="581">
      <c r="A581" s="60" t="n"/>
      <c r="B581" s="65">
        <f>IF(A581="","",IFERROR(INDEX(Bestand!$B$14:$B$213,MATCH(A581,Bestand!$A$14:$A$213,0)),"ID unbekannt"))</f>
        <v/>
      </c>
      <c r="C581" s="63" t="n"/>
      <c r="D581" s="61" t="n"/>
      <c r="E581" s="60" t="n"/>
      <c r="F581" s="61" t="n"/>
    </row>
    <row r="582">
      <c r="A582" s="60" t="n"/>
      <c r="B582" s="65">
        <f>IF(A582="","",IFERROR(INDEX(Bestand!$B$14:$B$213,MATCH(A582,Bestand!$A$14:$A$213,0)),"ID unbekannt"))</f>
        <v/>
      </c>
      <c r="C582" s="63" t="n"/>
      <c r="D582" s="61" t="n"/>
      <c r="E582" s="60" t="n"/>
      <c r="F582" s="61" t="n"/>
    </row>
    <row r="583">
      <c r="A583" s="60" t="n"/>
      <c r="B583" s="65">
        <f>IF(A583="","",IFERROR(INDEX(Bestand!$B$14:$B$213,MATCH(A583,Bestand!$A$14:$A$213,0)),"ID unbekannt"))</f>
        <v/>
      </c>
      <c r="C583" s="63" t="n"/>
      <c r="D583" s="61" t="n"/>
      <c r="E583" s="60" t="n"/>
      <c r="F583" s="61" t="n"/>
    </row>
    <row r="584">
      <c r="A584" s="60" t="n"/>
      <c r="B584" s="65">
        <f>IF(A584="","",IFERROR(INDEX(Bestand!$B$14:$B$213,MATCH(A584,Bestand!$A$14:$A$213,0)),"ID unbekannt"))</f>
        <v/>
      </c>
      <c r="C584" s="63" t="n"/>
      <c r="D584" s="61" t="n"/>
      <c r="E584" s="60" t="n"/>
      <c r="F584" s="61" t="n"/>
    </row>
    <row r="585">
      <c r="A585" s="60" t="n"/>
      <c r="B585" s="65">
        <f>IF(A585="","",IFERROR(INDEX(Bestand!$B$14:$B$213,MATCH(A585,Bestand!$A$14:$A$213,0)),"ID unbekannt"))</f>
        <v/>
      </c>
      <c r="C585" s="63" t="n"/>
      <c r="D585" s="61" t="n"/>
      <c r="E585" s="60" t="n"/>
      <c r="F585" s="61" t="n"/>
    </row>
    <row r="586">
      <c r="A586" s="60" t="n"/>
      <c r="B586" s="65">
        <f>IF(A586="","",IFERROR(INDEX(Bestand!$B$14:$B$213,MATCH(A586,Bestand!$A$14:$A$213,0)),"ID unbekannt"))</f>
        <v/>
      </c>
      <c r="C586" s="63" t="n"/>
      <c r="D586" s="61" t="n"/>
      <c r="E586" s="60" t="n"/>
      <c r="F586" s="61" t="n"/>
    </row>
    <row r="587">
      <c r="A587" s="60" t="n"/>
      <c r="B587" s="65">
        <f>IF(A587="","",IFERROR(INDEX(Bestand!$B$14:$B$213,MATCH(A587,Bestand!$A$14:$A$213,0)),"ID unbekannt"))</f>
        <v/>
      </c>
      <c r="C587" s="63" t="n"/>
      <c r="D587" s="61" t="n"/>
      <c r="E587" s="60" t="n"/>
      <c r="F587" s="61" t="n"/>
    </row>
    <row r="588">
      <c r="A588" s="60" t="n"/>
      <c r="B588" s="65">
        <f>IF(A588="","",IFERROR(INDEX(Bestand!$B$14:$B$213,MATCH(A588,Bestand!$A$14:$A$213,0)),"ID unbekannt"))</f>
        <v/>
      </c>
      <c r="C588" s="63" t="n"/>
      <c r="D588" s="61" t="n"/>
      <c r="E588" s="60" t="n"/>
      <c r="F588" s="61" t="n"/>
    </row>
    <row r="589">
      <c r="A589" s="60" t="n"/>
      <c r="B589" s="65">
        <f>IF(A589="","",IFERROR(INDEX(Bestand!$B$14:$B$213,MATCH(A589,Bestand!$A$14:$A$213,0)),"ID unbekannt"))</f>
        <v/>
      </c>
      <c r="C589" s="63" t="n"/>
      <c r="D589" s="61" t="n"/>
      <c r="E589" s="60" t="n"/>
      <c r="F589" s="61" t="n"/>
    </row>
    <row r="590">
      <c r="A590" s="60" t="n"/>
      <c r="B590" s="65">
        <f>IF(A590="","",IFERROR(INDEX(Bestand!$B$14:$B$213,MATCH(A590,Bestand!$A$14:$A$213,0)),"ID unbekannt"))</f>
        <v/>
      </c>
      <c r="C590" s="63" t="n"/>
      <c r="D590" s="61" t="n"/>
      <c r="E590" s="60" t="n"/>
      <c r="F590" s="61" t="n"/>
    </row>
    <row r="591">
      <c r="A591" s="60" t="n"/>
      <c r="B591" s="65">
        <f>IF(A591="","",IFERROR(INDEX(Bestand!$B$14:$B$213,MATCH(A591,Bestand!$A$14:$A$213,0)),"ID unbekannt"))</f>
        <v/>
      </c>
      <c r="C591" s="63" t="n"/>
      <c r="D591" s="61" t="n"/>
      <c r="E591" s="60" t="n"/>
      <c r="F591" s="61" t="n"/>
    </row>
    <row r="592">
      <c r="A592" s="60" t="n"/>
      <c r="B592" s="65">
        <f>IF(A592="","",IFERROR(INDEX(Bestand!$B$14:$B$213,MATCH(A592,Bestand!$A$14:$A$213,0)),"ID unbekannt"))</f>
        <v/>
      </c>
      <c r="C592" s="63" t="n"/>
      <c r="D592" s="61" t="n"/>
      <c r="E592" s="60" t="n"/>
      <c r="F592" s="61" t="n"/>
    </row>
    <row r="593">
      <c r="A593" s="60" t="n"/>
      <c r="B593" s="65">
        <f>IF(A593="","",IFERROR(INDEX(Bestand!$B$14:$B$213,MATCH(A593,Bestand!$A$14:$A$213,0)),"ID unbekannt"))</f>
        <v/>
      </c>
      <c r="C593" s="63" t="n"/>
      <c r="D593" s="61" t="n"/>
      <c r="E593" s="60" t="n"/>
      <c r="F593" s="61" t="n"/>
    </row>
    <row r="594">
      <c r="A594" s="60" t="n"/>
      <c r="B594" s="65">
        <f>IF(A594="","",IFERROR(INDEX(Bestand!$B$14:$B$213,MATCH(A594,Bestand!$A$14:$A$213,0)),"ID unbekannt"))</f>
        <v/>
      </c>
      <c r="C594" s="63" t="n"/>
      <c r="D594" s="61" t="n"/>
      <c r="E594" s="60" t="n"/>
      <c r="F594" s="61" t="n"/>
    </row>
    <row r="595">
      <c r="A595" s="60" t="n"/>
      <c r="B595" s="65">
        <f>IF(A595="","",IFERROR(INDEX(Bestand!$B$14:$B$213,MATCH(A595,Bestand!$A$14:$A$213,0)),"ID unbekannt"))</f>
        <v/>
      </c>
      <c r="C595" s="63" t="n"/>
      <c r="D595" s="61" t="n"/>
      <c r="E595" s="60" t="n"/>
      <c r="F595" s="61" t="n"/>
    </row>
    <row r="596">
      <c r="A596" s="60" t="n"/>
      <c r="B596" s="65">
        <f>IF(A596="","",IFERROR(INDEX(Bestand!$B$14:$B$213,MATCH(A596,Bestand!$A$14:$A$213,0)),"ID unbekannt"))</f>
        <v/>
      </c>
      <c r="C596" s="63" t="n"/>
      <c r="D596" s="61" t="n"/>
      <c r="E596" s="60" t="n"/>
      <c r="F596" s="61" t="n"/>
    </row>
    <row r="597">
      <c r="A597" s="60" t="n"/>
      <c r="B597" s="65">
        <f>IF(A597="","",IFERROR(INDEX(Bestand!$B$14:$B$213,MATCH(A597,Bestand!$A$14:$A$213,0)),"ID unbekannt"))</f>
        <v/>
      </c>
      <c r="C597" s="63" t="n"/>
      <c r="D597" s="61" t="n"/>
      <c r="E597" s="60" t="n"/>
      <c r="F597" s="61" t="n"/>
    </row>
    <row r="598">
      <c r="A598" s="60" t="n"/>
      <c r="B598" s="65">
        <f>IF(A598="","",IFERROR(INDEX(Bestand!$B$14:$B$213,MATCH(A598,Bestand!$A$14:$A$213,0)),"ID unbekannt"))</f>
        <v/>
      </c>
      <c r="C598" s="63" t="n"/>
      <c r="D598" s="61" t="n"/>
      <c r="E598" s="60" t="n"/>
      <c r="F598" s="61" t="n"/>
    </row>
    <row r="599">
      <c r="A599" s="60" t="n"/>
      <c r="B599" s="65">
        <f>IF(A599="","",IFERROR(INDEX(Bestand!$B$14:$B$213,MATCH(A599,Bestand!$A$14:$A$213,0)),"ID unbekannt"))</f>
        <v/>
      </c>
      <c r="C599" s="63" t="n"/>
      <c r="D599" s="61" t="n"/>
      <c r="E599" s="60" t="n"/>
      <c r="F599" s="61" t="n"/>
    </row>
    <row r="600">
      <c r="A600" s="60" t="n"/>
      <c r="B600" s="65">
        <f>IF(A600="","",IFERROR(INDEX(Bestand!$B$14:$B$213,MATCH(A600,Bestand!$A$14:$A$213,0)),"ID unbekannt"))</f>
        <v/>
      </c>
      <c r="C600" s="63" t="n"/>
      <c r="D600" s="61" t="n"/>
      <c r="E600" s="60" t="n"/>
      <c r="F600" s="61" t="n"/>
    </row>
    <row r="601">
      <c r="A601" s="60" t="n"/>
      <c r="B601" s="65">
        <f>IF(A601="","",IFERROR(INDEX(Bestand!$B$14:$B$213,MATCH(A601,Bestand!$A$14:$A$213,0)),"ID unbekannt"))</f>
        <v/>
      </c>
      <c r="C601" s="63" t="n"/>
      <c r="D601" s="61" t="n"/>
      <c r="E601" s="60" t="n"/>
      <c r="F601" s="61" t="n"/>
    </row>
    <row r="602">
      <c r="A602" s="60" t="n"/>
      <c r="B602" s="65">
        <f>IF(A602="","",IFERROR(INDEX(Bestand!$B$14:$B$213,MATCH(A602,Bestand!$A$14:$A$213,0)),"ID unbekannt"))</f>
        <v/>
      </c>
      <c r="C602" s="63" t="n"/>
      <c r="D602" s="61" t="n"/>
      <c r="E602" s="60" t="n"/>
      <c r="F602" s="61" t="n"/>
    </row>
    <row r="603">
      <c r="A603" s="60" t="n"/>
      <c r="B603" s="65">
        <f>IF(A603="","",IFERROR(INDEX(Bestand!$B$14:$B$213,MATCH(A603,Bestand!$A$14:$A$213,0)),"ID unbekannt"))</f>
        <v/>
      </c>
      <c r="C603" s="63" t="n"/>
      <c r="D603" s="61" t="n"/>
      <c r="E603" s="60" t="n"/>
      <c r="F603" s="61" t="n"/>
    </row>
    <row r="604">
      <c r="A604" s="60" t="n"/>
      <c r="B604" s="65">
        <f>IF(A604="","",IFERROR(INDEX(Bestand!$B$14:$B$213,MATCH(A604,Bestand!$A$14:$A$213,0)),"ID unbekannt"))</f>
        <v/>
      </c>
      <c r="C604" s="63" t="n"/>
      <c r="D604" s="61" t="n"/>
      <c r="E604" s="60" t="n"/>
      <c r="F604" s="61" t="n"/>
    </row>
    <row r="605">
      <c r="A605" s="60" t="n"/>
      <c r="B605" s="65">
        <f>IF(A605="","",IFERROR(INDEX(Bestand!$B$14:$B$213,MATCH(A605,Bestand!$A$14:$A$213,0)),"ID unbekannt"))</f>
        <v/>
      </c>
      <c r="C605" s="63" t="n"/>
      <c r="D605" s="61" t="n"/>
      <c r="E605" s="60" t="n"/>
      <c r="F605" s="61" t="n"/>
    </row>
    <row r="606">
      <c r="A606" s="60" t="n"/>
      <c r="B606" s="65">
        <f>IF(A606="","",IFERROR(INDEX(Bestand!$B$14:$B$213,MATCH(A606,Bestand!$A$14:$A$213,0)),"ID unbekannt"))</f>
        <v/>
      </c>
      <c r="C606" s="63" t="n"/>
      <c r="D606" s="61" t="n"/>
      <c r="E606" s="60" t="n"/>
      <c r="F606" s="61" t="n"/>
    </row>
    <row r="607">
      <c r="A607" s="60" t="n"/>
      <c r="B607" s="65">
        <f>IF(A607="","",IFERROR(INDEX(Bestand!$B$14:$B$213,MATCH(A607,Bestand!$A$14:$A$213,0)),"ID unbekannt"))</f>
        <v/>
      </c>
      <c r="C607" s="63" t="n"/>
      <c r="D607" s="61" t="n"/>
      <c r="E607" s="60" t="n"/>
      <c r="F607" s="61" t="n"/>
    </row>
    <row r="608">
      <c r="A608" s="60" t="n"/>
      <c r="B608" s="65">
        <f>IF(A608="","",IFERROR(INDEX(Bestand!$B$14:$B$213,MATCH(A608,Bestand!$A$14:$A$213,0)),"ID unbekannt"))</f>
        <v/>
      </c>
      <c r="C608" s="63" t="n"/>
      <c r="D608" s="61" t="n"/>
      <c r="E608" s="60" t="n"/>
      <c r="F608" s="61" t="n"/>
    </row>
    <row r="609">
      <c r="A609" s="60" t="n"/>
      <c r="B609" s="65">
        <f>IF(A609="","",IFERROR(INDEX(Bestand!$B$14:$B$213,MATCH(A609,Bestand!$A$14:$A$213,0)),"ID unbekannt"))</f>
        <v/>
      </c>
      <c r="C609" s="63" t="n"/>
      <c r="D609" s="61" t="n"/>
      <c r="E609" s="60" t="n"/>
      <c r="F609" s="61" t="n"/>
    </row>
    <row r="610">
      <c r="A610" s="60" t="n"/>
      <c r="B610" s="65">
        <f>IF(A610="","",IFERROR(INDEX(Bestand!$B$14:$B$213,MATCH(A610,Bestand!$A$14:$A$213,0)),"ID unbekannt"))</f>
        <v/>
      </c>
      <c r="C610" s="63" t="n"/>
      <c r="D610" s="61" t="n"/>
      <c r="E610" s="60" t="n"/>
      <c r="F610" s="61" t="n"/>
    </row>
    <row r="611">
      <c r="A611" s="60" t="n"/>
      <c r="B611" s="65">
        <f>IF(A611="","",IFERROR(INDEX(Bestand!$B$14:$B$213,MATCH(A611,Bestand!$A$14:$A$213,0)),"ID unbekannt"))</f>
        <v/>
      </c>
      <c r="C611" s="63" t="n"/>
      <c r="D611" s="61" t="n"/>
      <c r="E611" s="60" t="n"/>
      <c r="F611" s="61" t="n"/>
    </row>
    <row r="612">
      <c r="A612" s="60" t="n"/>
      <c r="B612" s="65">
        <f>IF(A612="","",IFERROR(INDEX(Bestand!$B$14:$B$213,MATCH(A612,Bestand!$A$14:$A$213,0)),"ID unbekannt"))</f>
        <v/>
      </c>
      <c r="C612" s="63" t="n"/>
      <c r="D612" s="61" t="n"/>
      <c r="E612" s="60" t="n"/>
      <c r="F612" s="61" t="n"/>
    </row>
    <row r="613">
      <c r="A613" s="60" t="n"/>
      <c r="B613" s="65">
        <f>IF(A613="","",IFERROR(INDEX(Bestand!$B$14:$B$213,MATCH(A613,Bestand!$A$14:$A$213,0)),"ID unbekannt"))</f>
        <v/>
      </c>
      <c r="C613" s="63" t="n"/>
      <c r="D613" s="61" t="n"/>
      <c r="E613" s="60" t="n"/>
      <c r="F613" s="61" t="n"/>
    </row>
    <row r="614">
      <c r="A614" s="60" t="n"/>
      <c r="B614" s="65">
        <f>IF(A614="","",IFERROR(INDEX(Bestand!$B$14:$B$213,MATCH(A614,Bestand!$A$14:$A$213,0)),"ID unbekannt"))</f>
        <v/>
      </c>
      <c r="C614" s="63" t="n"/>
      <c r="D614" s="61" t="n"/>
      <c r="E614" s="60" t="n"/>
      <c r="F614" s="61" t="n"/>
    </row>
    <row r="615">
      <c r="A615" s="60" t="n"/>
      <c r="B615" s="65">
        <f>IF(A615="","",IFERROR(INDEX(Bestand!$B$14:$B$213,MATCH(A615,Bestand!$A$14:$A$213,0)),"ID unbekannt"))</f>
        <v/>
      </c>
      <c r="C615" s="63" t="n"/>
      <c r="D615" s="61" t="n"/>
      <c r="E615" s="60" t="n"/>
      <c r="F615" s="61" t="n"/>
    </row>
    <row r="616">
      <c r="A616" s="60" t="n"/>
      <c r="B616" s="65">
        <f>IF(A616="","",IFERROR(INDEX(Bestand!$B$14:$B$213,MATCH(A616,Bestand!$A$14:$A$213,0)),"ID unbekannt"))</f>
        <v/>
      </c>
      <c r="C616" s="63" t="n"/>
      <c r="D616" s="61" t="n"/>
      <c r="E616" s="60" t="n"/>
      <c r="F616" s="61" t="n"/>
    </row>
    <row r="617">
      <c r="A617" s="60" t="n"/>
      <c r="B617" s="65">
        <f>IF(A617="","",IFERROR(INDEX(Bestand!$B$14:$B$213,MATCH(A617,Bestand!$A$14:$A$213,0)),"ID unbekannt"))</f>
        <v/>
      </c>
      <c r="C617" s="63" t="n"/>
      <c r="D617" s="61" t="n"/>
      <c r="E617" s="60" t="n"/>
      <c r="F617" s="61" t="n"/>
    </row>
    <row r="618">
      <c r="A618" s="60" t="n"/>
      <c r="B618" s="65">
        <f>IF(A618="","",IFERROR(INDEX(Bestand!$B$14:$B$213,MATCH(A618,Bestand!$A$14:$A$213,0)),"ID unbekannt"))</f>
        <v/>
      </c>
      <c r="C618" s="63" t="n"/>
      <c r="D618" s="61" t="n"/>
      <c r="E618" s="60" t="n"/>
      <c r="F618" s="61" t="n"/>
    </row>
    <row r="619">
      <c r="A619" s="60" t="n"/>
      <c r="B619" s="65">
        <f>IF(A619="","",IFERROR(INDEX(Bestand!$B$14:$B$213,MATCH(A619,Bestand!$A$14:$A$213,0)),"ID unbekannt"))</f>
        <v/>
      </c>
      <c r="C619" s="63" t="n"/>
      <c r="D619" s="61" t="n"/>
      <c r="E619" s="60" t="n"/>
      <c r="F619" s="61" t="n"/>
    </row>
    <row r="620">
      <c r="A620" s="60" t="n"/>
      <c r="B620" s="65">
        <f>IF(A620="","",IFERROR(INDEX(Bestand!$B$14:$B$213,MATCH(A620,Bestand!$A$14:$A$213,0)),"ID unbekannt"))</f>
        <v/>
      </c>
      <c r="C620" s="63" t="n"/>
      <c r="D620" s="61" t="n"/>
      <c r="E620" s="60" t="n"/>
      <c r="F620" s="61" t="n"/>
    </row>
    <row r="621">
      <c r="A621" s="60" t="n"/>
      <c r="B621" s="65">
        <f>IF(A621="","",IFERROR(INDEX(Bestand!$B$14:$B$213,MATCH(A621,Bestand!$A$14:$A$213,0)),"ID unbekannt"))</f>
        <v/>
      </c>
      <c r="C621" s="63" t="n"/>
      <c r="D621" s="61" t="n"/>
      <c r="E621" s="60" t="n"/>
      <c r="F621" s="61" t="n"/>
    </row>
    <row r="622">
      <c r="A622" s="60" t="n"/>
      <c r="B622" s="65">
        <f>IF(A622="","",IFERROR(INDEX(Bestand!$B$14:$B$213,MATCH(A622,Bestand!$A$14:$A$213,0)),"ID unbekannt"))</f>
        <v/>
      </c>
      <c r="C622" s="63" t="n"/>
      <c r="D622" s="61" t="n"/>
      <c r="E622" s="60" t="n"/>
      <c r="F622" s="61" t="n"/>
    </row>
    <row r="623">
      <c r="A623" s="60" t="n"/>
      <c r="B623" s="65">
        <f>IF(A623="","",IFERROR(INDEX(Bestand!$B$14:$B$213,MATCH(A623,Bestand!$A$14:$A$213,0)),"ID unbekannt"))</f>
        <v/>
      </c>
      <c r="C623" s="63" t="n"/>
      <c r="D623" s="61" t="n"/>
      <c r="E623" s="60" t="n"/>
      <c r="F623" s="61" t="n"/>
    </row>
    <row r="624">
      <c r="A624" s="60" t="n"/>
      <c r="B624" s="65">
        <f>IF(A624="","",IFERROR(INDEX(Bestand!$B$14:$B$213,MATCH(A624,Bestand!$A$14:$A$213,0)),"ID unbekannt"))</f>
        <v/>
      </c>
      <c r="C624" s="63" t="n"/>
      <c r="D624" s="61" t="n"/>
      <c r="E624" s="60" t="n"/>
      <c r="F624" s="61" t="n"/>
    </row>
    <row r="625">
      <c r="A625" s="60" t="n"/>
      <c r="B625" s="65">
        <f>IF(A625="","",IFERROR(INDEX(Bestand!$B$14:$B$213,MATCH(A625,Bestand!$A$14:$A$213,0)),"ID unbekannt"))</f>
        <v/>
      </c>
      <c r="C625" s="63" t="n"/>
      <c r="D625" s="61" t="n"/>
      <c r="E625" s="60" t="n"/>
      <c r="F625" s="61" t="n"/>
    </row>
    <row r="626">
      <c r="A626" s="60" t="n"/>
      <c r="B626" s="65">
        <f>IF(A626="","",IFERROR(INDEX(Bestand!$B$14:$B$213,MATCH(A626,Bestand!$A$14:$A$213,0)),"ID unbekannt"))</f>
        <v/>
      </c>
      <c r="C626" s="63" t="n"/>
      <c r="D626" s="61" t="n"/>
      <c r="E626" s="60" t="n"/>
      <c r="F626" s="61" t="n"/>
    </row>
    <row r="627">
      <c r="A627" s="60" t="n"/>
      <c r="B627" s="65">
        <f>IF(A627="","",IFERROR(INDEX(Bestand!$B$14:$B$213,MATCH(A627,Bestand!$A$14:$A$213,0)),"ID unbekannt"))</f>
        <v/>
      </c>
      <c r="C627" s="63" t="n"/>
      <c r="D627" s="61" t="n"/>
      <c r="E627" s="60" t="n"/>
      <c r="F627" s="61" t="n"/>
    </row>
    <row r="628">
      <c r="A628" s="60" t="n"/>
      <c r="B628" s="65">
        <f>IF(A628="","",IFERROR(INDEX(Bestand!$B$14:$B$213,MATCH(A628,Bestand!$A$14:$A$213,0)),"ID unbekannt"))</f>
        <v/>
      </c>
      <c r="C628" s="63" t="n"/>
      <c r="D628" s="61" t="n"/>
      <c r="E628" s="60" t="n"/>
      <c r="F628" s="61" t="n"/>
    </row>
    <row r="629">
      <c r="A629" s="60" t="n"/>
      <c r="B629" s="65">
        <f>IF(A629="","",IFERROR(INDEX(Bestand!$B$14:$B$213,MATCH(A629,Bestand!$A$14:$A$213,0)),"ID unbekannt"))</f>
        <v/>
      </c>
      <c r="C629" s="63" t="n"/>
      <c r="D629" s="61" t="n"/>
      <c r="E629" s="60" t="n"/>
      <c r="F629" s="61" t="n"/>
    </row>
    <row r="630">
      <c r="A630" s="60" t="n"/>
      <c r="B630" s="65">
        <f>IF(A630="","",IFERROR(INDEX(Bestand!$B$14:$B$213,MATCH(A630,Bestand!$A$14:$A$213,0)),"ID unbekannt"))</f>
        <v/>
      </c>
      <c r="C630" s="63" t="n"/>
      <c r="D630" s="61" t="n"/>
      <c r="E630" s="60" t="n"/>
      <c r="F630" s="61" t="n"/>
    </row>
    <row r="631">
      <c r="A631" s="60" t="n"/>
      <c r="B631" s="65">
        <f>IF(A631="","",IFERROR(INDEX(Bestand!$B$14:$B$213,MATCH(A631,Bestand!$A$14:$A$213,0)),"ID unbekannt"))</f>
        <v/>
      </c>
      <c r="C631" s="63" t="n"/>
      <c r="D631" s="61" t="n"/>
      <c r="E631" s="60" t="n"/>
      <c r="F631" s="61" t="n"/>
    </row>
    <row r="632">
      <c r="A632" s="60" t="n"/>
      <c r="B632" s="65">
        <f>IF(A632="","",IFERROR(INDEX(Bestand!$B$14:$B$213,MATCH(A632,Bestand!$A$14:$A$213,0)),"ID unbekannt"))</f>
        <v/>
      </c>
      <c r="C632" s="63" t="n"/>
      <c r="D632" s="61" t="n"/>
      <c r="E632" s="60" t="n"/>
      <c r="F632" s="61" t="n"/>
    </row>
    <row r="633">
      <c r="A633" s="60" t="n"/>
      <c r="B633" s="65">
        <f>IF(A633="","",IFERROR(INDEX(Bestand!$B$14:$B$213,MATCH(A633,Bestand!$A$14:$A$213,0)),"ID unbekannt"))</f>
        <v/>
      </c>
      <c r="C633" s="63" t="n"/>
      <c r="D633" s="61" t="n"/>
      <c r="E633" s="60" t="n"/>
      <c r="F633" s="61" t="n"/>
    </row>
    <row r="634">
      <c r="A634" s="60" t="n"/>
      <c r="B634" s="65">
        <f>IF(A634="","",IFERROR(INDEX(Bestand!$B$14:$B$213,MATCH(A634,Bestand!$A$14:$A$213,0)),"ID unbekannt"))</f>
        <v/>
      </c>
      <c r="C634" s="63" t="n"/>
      <c r="D634" s="61" t="n"/>
      <c r="E634" s="60" t="n"/>
      <c r="F634" s="61" t="n"/>
    </row>
    <row r="635">
      <c r="A635" s="60" t="n"/>
      <c r="B635" s="65">
        <f>IF(A635="","",IFERROR(INDEX(Bestand!$B$14:$B$213,MATCH(A635,Bestand!$A$14:$A$213,0)),"ID unbekannt"))</f>
        <v/>
      </c>
      <c r="C635" s="63" t="n"/>
      <c r="D635" s="61" t="n"/>
      <c r="E635" s="60" t="n"/>
      <c r="F635" s="61" t="n"/>
    </row>
    <row r="636">
      <c r="A636" s="60" t="n"/>
      <c r="B636" s="65">
        <f>IF(A636="","",IFERROR(INDEX(Bestand!$B$14:$B$213,MATCH(A636,Bestand!$A$14:$A$213,0)),"ID unbekannt"))</f>
        <v/>
      </c>
      <c r="C636" s="63" t="n"/>
      <c r="D636" s="61" t="n"/>
      <c r="E636" s="60" t="n"/>
      <c r="F636" s="61" t="n"/>
    </row>
    <row r="637">
      <c r="A637" s="60" t="n"/>
      <c r="B637" s="65">
        <f>IF(A637="","",IFERROR(INDEX(Bestand!$B$14:$B$213,MATCH(A637,Bestand!$A$14:$A$213,0)),"ID unbekannt"))</f>
        <v/>
      </c>
      <c r="C637" s="63" t="n"/>
      <c r="D637" s="61" t="n"/>
      <c r="E637" s="60" t="n"/>
      <c r="F637" s="61" t="n"/>
    </row>
    <row r="638">
      <c r="A638" s="60" t="n"/>
      <c r="B638" s="65">
        <f>IF(A638="","",IFERROR(INDEX(Bestand!$B$14:$B$213,MATCH(A638,Bestand!$A$14:$A$213,0)),"ID unbekannt"))</f>
        <v/>
      </c>
      <c r="C638" s="63" t="n"/>
      <c r="D638" s="61" t="n"/>
      <c r="E638" s="60" t="n"/>
      <c r="F638" s="61" t="n"/>
    </row>
    <row r="639">
      <c r="A639" s="60" t="n"/>
      <c r="B639" s="65">
        <f>IF(A639="","",IFERROR(INDEX(Bestand!$B$14:$B$213,MATCH(A639,Bestand!$A$14:$A$213,0)),"ID unbekannt"))</f>
        <v/>
      </c>
      <c r="C639" s="63" t="n"/>
      <c r="D639" s="61" t="n"/>
      <c r="E639" s="60" t="n"/>
      <c r="F639" s="61" t="n"/>
    </row>
    <row r="640">
      <c r="A640" s="60" t="n"/>
      <c r="B640" s="65">
        <f>IF(A640="","",IFERROR(INDEX(Bestand!$B$14:$B$213,MATCH(A640,Bestand!$A$14:$A$213,0)),"ID unbekannt"))</f>
        <v/>
      </c>
      <c r="C640" s="63" t="n"/>
      <c r="D640" s="61" t="n"/>
      <c r="E640" s="60" t="n"/>
      <c r="F640" s="61" t="n"/>
    </row>
    <row r="641">
      <c r="A641" s="60" t="n"/>
      <c r="B641" s="65">
        <f>IF(A641="","",IFERROR(INDEX(Bestand!$B$14:$B$213,MATCH(A641,Bestand!$A$14:$A$213,0)),"ID unbekannt"))</f>
        <v/>
      </c>
      <c r="C641" s="63" t="n"/>
      <c r="D641" s="61" t="n"/>
      <c r="E641" s="60" t="n"/>
      <c r="F641" s="61" t="n"/>
    </row>
    <row r="642">
      <c r="A642" s="60" t="n"/>
      <c r="B642" s="65">
        <f>IF(A642="","",IFERROR(INDEX(Bestand!$B$14:$B$213,MATCH(A642,Bestand!$A$14:$A$213,0)),"ID unbekannt"))</f>
        <v/>
      </c>
      <c r="C642" s="63" t="n"/>
      <c r="D642" s="61" t="n"/>
      <c r="E642" s="60" t="n"/>
      <c r="F642" s="61" t="n"/>
    </row>
    <row r="643">
      <c r="A643" s="60" t="n"/>
      <c r="B643" s="65">
        <f>IF(A643="","",IFERROR(INDEX(Bestand!$B$14:$B$213,MATCH(A643,Bestand!$A$14:$A$213,0)),"ID unbekannt"))</f>
        <v/>
      </c>
      <c r="C643" s="63" t="n"/>
      <c r="D643" s="61" t="n"/>
      <c r="E643" s="60" t="n"/>
      <c r="F643" s="61" t="n"/>
    </row>
    <row r="644">
      <c r="A644" s="60" t="n"/>
      <c r="B644" s="65">
        <f>IF(A644="","",IFERROR(INDEX(Bestand!$B$14:$B$213,MATCH(A644,Bestand!$A$14:$A$213,0)),"ID unbekannt"))</f>
        <v/>
      </c>
      <c r="C644" s="63" t="n"/>
      <c r="D644" s="61" t="n"/>
      <c r="E644" s="60" t="n"/>
      <c r="F644" s="61" t="n"/>
    </row>
    <row r="645">
      <c r="A645" s="60" t="n"/>
      <c r="B645" s="65">
        <f>IF(A645="","",IFERROR(INDEX(Bestand!$B$14:$B$213,MATCH(A645,Bestand!$A$14:$A$213,0)),"ID unbekannt"))</f>
        <v/>
      </c>
      <c r="C645" s="63" t="n"/>
      <c r="D645" s="61" t="n"/>
      <c r="E645" s="60" t="n"/>
      <c r="F645" s="61" t="n"/>
    </row>
    <row r="646">
      <c r="A646" s="60" t="n"/>
      <c r="B646" s="65">
        <f>IF(A646="","",IFERROR(INDEX(Bestand!$B$14:$B$213,MATCH(A646,Bestand!$A$14:$A$213,0)),"ID unbekannt"))</f>
        <v/>
      </c>
      <c r="C646" s="63" t="n"/>
      <c r="D646" s="61" t="n"/>
      <c r="E646" s="60" t="n"/>
      <c r="F646" s="61" t="n"/>
    </row>
    <row r="647">
      <c r="A647" s="60" t="n"/>
      <c r="B647" s="65">
        <f>IF(A647="","",IFERROR(INDEX(Bestand!$B$14:$B$213,MATCH(A647,Bestand!$A$14:$A$213,0)),"ID unbekannt"))</f>
        <v/>
      </c>
      <c r="C647" s="63" t="n"/>
      <c r="D647" s="61" t="n"/>
      <c r="E647" s="60" t="n"/>
      <c r="F647" s="61" t="n"/>
    </row>
    <row r="648">
      <c r="A648" s="60" t="n"/>
      <c r="B648" s="65">
        <f>IF(A648="","",IFERROR(INDEX(Bestand!$B$14:$B$213,MATCH(A648,Bestand!$A$14:$A$213,0)),"ID unbekannt"))</f>
        <v/>
      </c>
      <c r="C648" s="63" t="n"/>
      <c r="D648" s="61" t="n"/>
      <c r="E648" s="60" t="n"/>
      <c r="F648" s="61" t="n"/>
    </row>
    <row r="649">
      <c r="A649" s="60" t="n"/>
      <c r="B649" s="65">
        <f>IF(A649="","",IFERROR(INDEX(Bestand!$B$14:$B$213,MATCH(A649,Bestand!$A$14:$A$213,0)),"ID unbekannt"))</f>
        <v/>
      </c>
      <c r="C649" s="63" t="n"/>
      <c r="D649" s="61" t="n"/>
      <c r="E649" s="60" t="n"/>
      <c r="F649" s="61" t="n"/>
    </row>
    <row r="650">
      <c r="A650" s="60" t="n"/>
      <c r="B650" s="65">
        <f>IF(A650="","",IFERROR(INDEX(Bestand!$B$14:$B$213,MATCH(A650,Bestand!$A$14:$A$213,0)),"ID unbekannt"))</f>
        <v/>
      </c>
      <c r="C650" s="63" t="n"/>
      <c r="D650" s="61" t="n"/>
      <c r="E650" s="60" t="n"/>
      <c r="F650" s="61" t="n"/>
    </row>
    <row r="651">
      <c r="A651" s="60" t="n"/>
      <c r="B651" s="65">
        <f>IF(A651="","",IFERROR(INDEX(Bestand!$B$14:$B$213,MATCH(A651,Bestand!$A$14:$A$213,0)),"ID unbekannt"))</f>
        <v/>
      </c>
      <c r="C651" s="63" t="n"/>
      <c r="D651" s="61" t="n"/>
      <c r="E651" s="60" t="n"/>
      <c r="F651" s="61" t="n"/>
    </row>
    <row r="652">
      <c r="A652" s="60" t="n"/>
      <c r="B652" s="65">
        <f>IF(A652="","",IFERROR(INDEX(Bestand!$B$14:$B$213,MATCH(A652,Bestand!$A$14:$A$213,0)),"ID unbekannt"))</f>
        <v/>
      </c>
      <c r="C652" s="63" t="n"/>
      <c r="D652" s="61" t="n"/>
      <c r="E652" s="60" t="n"/>
      <c r="F652" s="61" t="n"/>
    </row>
    <row r="653">
      <c r="A653" s="60" t="n"/>
      <c r="B653" s="65">
        <f>IF(A653="","",IFERROR(INDEX(Bestand!$B$14:$B$213,MATCH(A653,Bestand!$A$14:$A$213,0)),"ID unbekannt"))</f>
        <v/>
      </c>
      <c r="C653" s="63" t="n"/>
      <c r="D653" s="61" t="n"/>
      <c r="E653" s="60" t="n"/>
      <c r="F653" s="61" t="n"/>
    </row>
    <row r="654">
      <c r="A654" s="60" t="n"/>
      <c r="B654" s="65">
        <f>IF(A654="","",IFERROR(INDEX(Bestand!$B$14:$B$213,MATCH(A654,Bestand!$A$14:$A$213,0)),"ID unbekannt"))</f>
        <v/>
      </c>
      <c r="C654" s="63" t="n"/>
      <c r="D654" s="61" t="n"/>
      <c r="E654" s="60" t="n"/>
      <c r="F654" s="61" t="n"/>
    </row>
    <row r="655">
      <c r="A655" s="60" t="n"/>
      <c r="B655" s="65">
        <f>IF(A655="","",IFERROR(INDEX(Bestand!$B$14:$B$213,MATCH(A655,Bestand!$A$14:$A$213,0)),"ID unbekannt"))</f>
        <v/>
      </c>
      <c r="C655" s="63" t="n"/>
      <c r="D655" s="61" t="n"/>
      <c r="E655" s="60" t="n"/>
      <c r="F655" s="61" t="n"/>
    </row>
    <row r="656">
      <c r="A656" s="60" t="n"/>
      <c r="B656" s="65">
        <f>IF(A656="","",IFERROR(INDEX(Bestand!$B$14:$B$213,MATCH(A656,Bestand!$A$14:$A$213,0)),"ID unbekannt"))</f>
        <v/>
      </c>
      <c r="C656" s="63" t="n"/>
      <c r="D656" s="61" t="n"/>
      <c r="E656" s="60" t="n"/>
      <c r="F656" s="61" t="n"/>
    </row>
    <row r="657">
      <c r="A657" s="60" t="n"/>
      <c r="B657" s="65">
        <f>IF(A657="","",IFERROR(INDEX(Bestand!$B$14:$B$213,MATCH(A657,Bestand!$A$14:$A$213,0)),"ID unbekannt"))</f>
        <v/>
      </c>
      <c r="C657" s="63" t="n"/>
      <c r="D657" s="61" t="n"/>
      <c r="E657" s="60" t="n"/>
      <c r="F657" s="61" t="n"/>
    </row>
    <row r="658">
      <c r="A658" s="60" t="n"/>
      <c r="B658" s="65">
        <f>IF(A658="","",IFERROR(INDEX(Bestand!$B$14:$B$213,MATCH(A658,Bestand!$A$14:$A$213,0)),"ID unbekannt"))</f>
        <v/>
      </c>
      <c r="C658" s="63" t="n"/>
      <c r="D658" s="61" t="n"/>
      <c r="E658" s="60" t="n"/>
      <c r="F658" s="61" t="n"/>
    </row>
    <row r="659">
      <c r="A659" s="60" t="n"/>
      <c r="B659" s="65">
        <f>IF(A659="","",IFERROR(INDEX(Bestand!$B$14:$B$213,MATCH(A659,Bestand!$A$14:$A$213,0)),"ID unbekannt"))</f>
        <v/>
      </c>
      <c r="C659" s="63" t="n"/>
      <c r="D659" s="61" t="n"/>
      <c r="E659" s="60" t="n"/>
      <c r="F659" s="61" t="n"/>
    </row>
    <row r="660">
      <c r="A660" s="60" t="n"/>
      <c r="B660" s="65">
        <f>IF(A660="","",IFERROR(INDEX(Bestand!$B$14:$B$213,MATCH(A660,Bestand!$A$14:$A$213,0)),"ID unbekannt"))</f>
        <v/>
      </c>
      <c r="C660" s="63" t="n"/>
      <c r="D660" s="61" t="n"/>
      <c r="E660" s="60" t="n"/>
      <c r="F660" s="61" t="n"/>
    </row>
    <row r="661">
      <c r="A661" s="60" t="n"/>
      <c r="B661" s="65">
        <f>IF(A661="","",IFERROR(INDEX(Bestand!$B$14:$B$213,MATCH(A661,Bestand!$A$14:$A$213,0)),"ID unbekannt"))</f>
        <v/>
      </c>
      <c r="C661" s="63" t="n"/>
      <c r="D661" s="61" t="n"/>
      <c r="E661" s="60" t="n"/>
      <c r="F661" s="61" t="n"/>
    </row>
    <row r="662">
      <c r="A662" s="60" t="n"/>
      <c r="B662" s="65">
        <f>IF(A662="","",IFERROR(INDEX(Bestand!$B$14:$B$213,MATCH(A662,Bestand!$A$14:$A$213,0)),"ID unbekannt"))</f>
        <v/>
      </c>
      <c r="C662" s="63" t="n"/>
      <c r="D662" s="61" t="n"/>
      <c r="E662" s="60" t="n"/>
      <c r="F662" s="61" t="n"/>
    </row>
    <row r="663">
      <c r="A663" s="60" t="n"/>
      <c r="B663" s="65">
        <f>IF(A663="","",IFERROR(INDEX(Bestand!$B$14:$B$213,MATCH(A663,Bestand!$A$14:$A$213,0)),"ID unbekannt"))</f>
        <v/>
      </c>
      <c r="C663" s="63" t="n"/>
      <c r="D663" s="61" t="n"/>
      <c r="E663" s="60" t="n"/>
      <c r="F663" s="61" t="n"/>
    </row>
    <row r="664">
      <c r="A664" s="60" t="n"/>
      <c r="B664" s="65">
        <f>IF(A664="","",IFERROR(INDEX(Bestand!$B$14:$B$213,MATCH(A664,Bestand!$A$14:$A$213,0)),"ID unbekannt"))</f>
        <v/>
      </c>
      <c r="C664" s="63" t="n"/>
      <c r="D664" s="61" t="n"/>
      <c r="E664" s="60" t="n"/>
      <c r="F664" s="61" t="n"/>
    </row>
    <row r="665">
      <c r="A665" s="60" t="n"/>
      <c r="B665" s="65">
        <f>IF(A665="","",IFERROR(INDEX(Bestand!$B$14:$B$213,MATCH(A665,Bestand!$A$14:$A$213,0)),"ID unbekannt"))</f>
        <v/>
      </c>
      <c r="C665" s="63" t="n"/>
      <c r="D665" s="61" t="n"/>
      <c r="E665" s="60" t="n"/>
      <c r="F665" s="61" t="n"/>
    </row>
    <row r="666">
      <c r="A666" s="60" t="n"/>
      <c r="B666" s="65">
        <f>IF(A666="","",IFERROR(INDEX(Bestand!$B$14:$B$213,MATCH(A666,Bestand!$A$14:$A$213,0)),"ID unbekannt"))</f>
        <v/>
      </c>
      <c r="C666" s="63" t="n"/>
      <c r="D666" s="61" t="n"/>
      <c r="E666" s="60" t="n"/>
      <c r="F666" s="61" t="n"/>
    </row>
    <row r="667">
      <c r="A667" s="60" t="n"/>
      <c r="B667" s="65">
        <f>IF(A667="","",IFERROR(INDEX(Bestand!$B$14:$B$213,MATCH(A667,Bestand!$A$14:$A$213,0)),"ID unbekannt"))</f>
        <v/>
      </c>
      <c r="C667" s="63" t="n"/>
      <c r="D667" s="61" t="n"/>
      <c r="E667" s="60" t="n"/>
      <c r="F667" s="61" t="n"/>
    </row>
    <row r="668">
      <c r="A668" s="60" t="n"/>
      <c r="B668" s="65">
        <f>IF(A668="","",IFERROR(INDEX(Bestand!$B$14:$B$213,MATCH(A668,Bestand!$A$14:$A$213,0)),"ID unbekannt"))</f>
        <v/>
      </c>
      <c r="C668" s="63" t="n"/>
      <c r="D668" s="61" t="n"/>
      <c r="E668" s="60" t="n"/>
      <c r="F668" s="61" t="n"/>
    </row>
    <row r="669">
      <c r="A669" s="60" t="n"/>
      <c r="B669" s="65">
        <f>IF(A669="","",IFERROR(INDEX(Bestand!$B$14:$B$213,MATCH(A669,Bestand!$A$14:$A$213,0)),"ID unbekannt"))</f>
        <v/>
      </c>
      <c r="C669" s="63" t="n"/>
      <c r="D669" s="61" t="n"/>
      <c r="E669" s="60" t="n"/>
      <c r="F669" s="61" t="n"/>
    </row>
    <row r="670">
      <c r="A670" s="60" t="n"/>
      <c r="B670" s="65">
        <f>IF(A670="","",IFERROR(INDEX(Bestand!$B$14:$B$213,MATCH(A670,Bestand!$A$14:$A$213,0)),"ID unbekannt"))</f>
        <v/>
      </c>
      <c r="C670" s="63" t="n"/>
      <c r="D670" s="61" t="n"/>
      <c r="E670" s="60" t="n"/>
      <c r="F670" s="61" t="n"/>
    </row>
    <row r="671">
      <c r="A671" s="60" t="n"/>
      <c r="B671" s="65">
        <f>IF(A671="","",IFERROR(INDEX(Bestand!$B$14:$B$213,MATCH(A671,Bestand!$A$14:$A$213,0)),"ID unbekannt"))</f>
        <v/>
      </c>
      <c r="C671" s="63" t="n"/>
      <c r="D671" s="61" t="n"/>
      <c r="E671" s="60" t="n"/>
      <c r="F671" s="61" t="n"/>
    </row>
    <row r="672">
      <c r="A672" s="60" t="n"/>
      <c r="B672" s="65">
        <f>IF(A672="","",IFERROR(INDEX(Bestand!$B$14:$B$213,MATCH(A672,Bestand!$A$14:$A$213,0)),"ID unbekannt"))</f>
        <v/>
      </c>
      <c r="C672" s="63" t="n"/>
      <c r="D672" s="61" t="n"/>
      <c r="E672" s="60" t="n"/>
      <c r="F672" s="61" t="n"/>
    </row>
    <row r="673">
      <c r="A673" s="60" t="n"/>
      <c r="B673" s="65">
        <f>IF(A673="","",IFERROR(INDEX(Bestand!$B$14:$B$213,MATCH(A673,Bestand!$A$14:$A$213,0)),"ID unbekannt"))</f>
        <v/>
      </c>
      <c r="C673" s="63" t="n"/>
      <c r="D673" s="61" t="n"/>
      <c r="E673" s="60" t="n"/>
      <c r="F673" s="61" t="n"/>
    </row>
    <row r="674">
      <c r="A674" s="60" t="n"/>
      <c r="B674" s="65">
        <f>IF(A674="","",IFERROR(INDEX(Bestand!$B$14:$B$213,MATCH(A674,Bestand!$A$14:$A$213,0)),"ID unbekannt"))</f>
        <v/>
      </c>
      <c r="C674" s="63" t="n"/>
      <c r="D674" s="61" t="n"/>
      <c r="E674" s="60" t="n"/>
      <c r="F674" s="61" t="n"/>
    </row>
    <row r="675">
      <c r="A675" s="60" t="n"/>
      <c r="B675" s="65">
        <f>IF(A675="","",IFERROR(INDEX(Bestand!$B$14:$B$213,MATCH(A675,Bestand!$A$14:$A$213,0)),"ID unbekannt"))</f>
        <v/>
      </c>
      <c r="C675" s="63" t="n"/>
      <c r="D675" s="61" t="n"/>
      <c r="E675" s="60" t="n"/>
      <c r="F675" s="61" t="n"/>
    </row>
    <row r="676">
      <c r="A676" s="60" t="n"/>
      <c r="B676" s="65">
        <f>IF(A676="","",IFERROR(INDEX(Bestand!$B$14:$B$213,MATCH(A676,Bestand!$A$14:$A$213,0)),"ID unbekannt"))</f>
        <v/>
      </c>
      <c r="C676" s="63" t="n"/>
      <c r="D676" s="61" t="n"/>
      <c r="E676" s="60" t="n"/>
      <c r="F676" s="61" t="n"/>
    </row>
    <row r="677">
      <c r="A677" s="60" t="n"/>
      <c r="B677" s="65">
        <f>IF(A677="","",IFERROR(INDEX(Bestand!$B$14:$B$213,MATCH(A677,Bestand!$A$14:$A$213,0)),"ID unbekannt"))</f>
        <v/>
      </c>
      <c r="C677" s="63" t="n"/>
      <c r="D677" s="61" t="n"/>
      <c r="E677" s="60" t="n"/>
      <c r="F677" s="61" t="n"/>
    </row>
    <row r="678">
      <c r="A678" s="60" t="n"/>
      <c r="B678" s="65">
        <f>IF(A678="","",IFERROR(INDEX(Bestand!$B$14:$B$213,MATCH(A678,Bestand!$A$14:$A$213,0)),"ID unbekannt"))</f>
        <v/>
      </c>
      <c r="C678" s="63" t="n"/>
      <c r="D678" s="61" t="n"/>
      <c r="E678" s="60" t="n"/>
      <c r="F678" s="61" t="n"/>
    </row>
    <row r="679">
      <c r="A679" s="60" t="n"/>
      <c r="B679" s="65">
        <f>IF(A679="","",IFERROR(INDEX(Bestand!$B$14:$B$213,MATCH(A679,Bestand!$A$14:$A$213,0)),"ID unbekannt"))</f>
        <v/>
      </c>
      <c r="C679" s="63" t="n"/>
      <c r="D679" s="61" t="n"/>
      <c r="E679" s="60" t="n"/>
      <c r="F679" s="61" t="n"/>
    </row>
    <row r="680">
      <c r="A680" s="60" t="n"/>
      <c r="B680" s="65">
        <f>IF(A680="","",IFERROR(INDEX(Bestand!$B$14:$B$213,MATCH(A680,Bestand!$A$14:$A$213,0)),"ID unbekannt"))</f>
        <v/>
      </c>
      <c r="C680" s="63" t="n"/>
      <c r="D680" s="61" t="n"/>
      <c r="E680" s="60" t="n"/>
      <c r="F680" s="61" t="n"/>
    </row>
    <row r="681">
      <c r="A681" s="60" t="n"/>
      <c r="B681" s="65">
        <f>IF(A681="","",IFERROR(INDEX(Bestand!$B$14:$B$213,MATCH(A681,Bestand!$A$14:$A$213,0)),"ID unbekannt"))</f>
        <v/>
      </c>
      <c r="C681" s="63" t="n"/>
      <c r="D681" s="61" t="n"/>
      <c r="E681" s="60" t="n"/>
      <c r="F681" s="61" t="n"/>
    </row>
    <row r="682">
      <c r="A682" s="60" t="n"/>
      <c r="B682" s="65">
        <f>IF(A682="","",IFERROR(INDEX(Bestand!$B$14:$B$213,MATCH(A682,Bestand!$A$14:$A$213,0)),"ID unbekannt"))</f>
        <v/>
      </c>
      <c r="C682" s="63" t="n"/>
      <c r="D682" s="61" t="n"/>
      <c r="E682" s="60" t="n"/>
      <c r="F682" s="61" t="n"/>
    </row>
    <row r="683">
      <c r="A683" s="60" t="n"/>
      <c r="B683" s="65">
        <f>IF(A683="","",IFERROR(INDEX(Bestand!$B$14:$B$213,MATCH(A683,Bestand!$A$14:$A$213,0)),"ID unbekannt"))</f>
        <v/>
      </c>
      <c r="C683" s="63" t="n"/>
      <c r="D683" s="61" t="n"/>
      <c r="E683" s="60" t="n"/>
      <c r="F683" s="61" t="n"/>
    </row>
    <row r="684">
      <c r="A684" s="60" t="n"/>
      <c r="B684" s="65">
        <f>IF(A684="","",IFERROR(INDEX(Bestand!$B$14:$B$213,MATCH(A684,Bestand!$A$14:$A$213,0)),"ID unbekannt"))</f>
        <v/>
      </c>
      <c r="C684" s="63" t="n"/>
      <c r="D684" s="61" t="n"/>
      <c r="E684" s="60" t="n"/>
      <c r="F684" s="61" t="n"/>
    </row>
    <row r="685">
      <c r="A685" s="60" t="n"/>
      <c r="B685" s="65">
        <f>IF(A685="","",IFERROR(INDEX(Bestand!$B$14:$B$213,MATCH(A685,Bestand!$A$14:$A$213,0)),"ID unbekannt"))</f>
        <v/>
      </c>
      <c r="C685" s="63" t="n"/>
      <c r="D685" s="61" t="n"/>
      <c r="E685" s="60" t="n"/>
      <c r="F685" s="61" t="n"/>
    </row>
    <row r="686">
      <c r="A686" s="60" t="n"/>
      <c r="B686" s="65">
        <f>IF(A686="","",IFERROR(INDEX(Bestand!$B$14:$B$213,MATCH(A686,Bestand!$A$14:$A$213,0)),"ID unbekannt"))</f>
        <v/>
      </c>
      <c r="C686" s="63" t="n"/>
      <c r="D686" s="61" t="n"/>
      <c r="E686" s="60" t="n"/>
      <c r="F686" s="61" t="n"/>
    </row>
    <row r="687">
      <c r="A687" s="60" t="n"/>
      <c r="B687" s="65">
        <f>IF(A687="","",IFERROR(INDEX(Bestand!$B$14:$B$213,MATCH(A687,Bestand!$A$14:$A$213,0)),"ID unbekannt"))</f>
        <v/>
      </c>
      <c r="C687" s="63" t="n"/>
      <c r="D687" s="61" t="n"/>
      <c r="E687" s="60" t="n"/>
      <c r="F687" s="61" t="n"/>
    </row>
    <row r="688">
      <c r="A688" s="60" t="n"/>
      <c r="B688" s="65">
        <f>IF(A688="","",IFERROR(INDEX(Bestand!$B$14:$B$213,MATCH(A688,Bestand!$A$14:$A$213,0)),"ID unbekannt"))</f>
        <v/>
      </c>
      <c r="C688" s="63" t="n"/>
      <c r="D688" s="61" t="n"/>
      <c r="E688" s="60" t="n"/>
      <c r="F688" s="61" t="n"/>
    </row>
    <row r="689">
      <c r="A689" s="60" t="n"/>
      <c r="B689" s="65">
        <f>IF(A689="","",IFERROR(INDEX(Bestand!$B$14:$B$213,MATCH(A689,Bestand!$A$14:$A$213,0)),"ID unbekannt"))</f>
        <v/>
      </c>
      <c r="C689" s="63" t="n"/>
      <c r="D689" s="61" t="n"/>
      <c r="E689" s="60" t="n"/>
      <c r="F689" s="61" t="n"/>
    </row>
    <row r="690">
      <c r="A690" s="60" t="n"/>
      <c r="B690" s="65">
        <f>IF(A690="","",IFERROR(INDEX(Bestand!$B$14:$B$213,MATCH(A690,Bestand!$A$14:$A$213,0)),"ID unbekannt"))</f>
        <v/>
      </c>
      <c r="C690" s="63" t="n"/>
      <c r="D690" s="61" t="n"/>
      <c r="E690" s="60" t="n"/>
      <c r="F690" s="61" t="n"/>
    </row>
    <row r="691">
      <c r="A691" s="60" t="n"/>
      <c r="B691" s="65">
        <f>IF(A691="","",IFERROR(INDEX(Bestand!$B$14:$B$213,MATCH(A691,Bestand!$A$14:$A$213,0)),"ID unbekannt"))</f>
        <v/>
      </c>
      <c r="C691" s="63" t="n"/>
      <c r="D691" s="61" t="n"/>
      <c r="E691" s="60" t="n"/>
      <c r="F691" s="61" t="n"/>
    </row>
    <row r="692">
      <c r="A692" s="60" t="n"/>
      <c r="B692" s="65">
        <f>IF(A692="","",IFERROR(INDEX(Bestand!$B$14:$B$213,MATCH(A692,Bestand!$A$14:$A$213,0)),"ID unbekannt"))</f>
        <v/>
      </c>
      <c r="C692" s="63" t="n"/>
      <c r="D692" s="61" t="n"/>
      <c r="E692" s="60" t="n"/>
      <c r="F692" s="61" t="n"/>
    </row>
    <row r="693">
      <c r="A693" s="60" t="n"/>
      <c r="B693" s="65">
        <f>IF(A693="","",IFERROR(INDEX(Bestand!$B$14:$B$213,MATCH(A693,Bestand!$A$14:$A$213,0)),"ID unbekannt"))</f>
        <v/>
      </c>
      <c r="C693" s="63" t="n"/>
      <c r="D693" s="61" t="n"/>
      <c r="E693" s="60" t="n"/>
      <c r="F693" s="61" t="n"/>
    </row>
    <row r="694">
      <c r="A694" s="60" t="n"/>
      <c r="B694" s="65">
        <f>IF(A694="","",IFERROR(INDEX(Bestand!$B$14:$B$213,MATCH(A694,Bestand!$A$14:$A$213,0)),"ID unbekannt"))</f>
        <v/>
      </c>
      <c r="C694" s="63" t="n"/>
      <c r="D694" s="61" t="n"/>
      <c r="E694" s="60" t="n"/>
      <c r="F694" s="61" t="n"/>
    </row>
    <row r="695">
      <c r="A695" s="60" t="n"/>
      <c r="B695" s="65">
        <f>IF(A695="","",IFERROR(INDEX(Bestand!$B$14:$B$213,MATCH(A695,Bestand!$A$14:$A$213,0)),"ID unbekannt"))</f>
        <v/>
      </c>
      <c r="C695" s="63" t="n"/>
      <c r="D695" s="61" t="n"/>
      <c r="E695" s="60" t="n"/>
      <c r="F695" s="61" t="n"/>
    </row>
    <row r="696">
      <c r="A696" s="60" t="n"/>
      <c r="B696" s="65">
        <f>IF(A696="","",IFERROR(INDEX(Bestand!$B$14:$B$213,MATCH(A696,Bestand!$A$14:$A$213,0)),"ID unbekannt"))</f>
        <v/>
      </c>
      <c r="C696" s="63" t="n"/>
      <c r="D696" s="61" t="n"/>
      <c r="E696" s="60" t="n"/>
      <c r="F696" s="61" t="n"/>
    </row>
    <row r="697">
      <c r="A697" s="60" t="n"/>
      <c r="B697" s="65">
        <f>IF(A697="","",IFERROR(INDEX(Bestand!$B$14:$B$213,MATCH(A697,Bestand!$A$14:$A$213,0)),"ID unbekannt"))</f>
        <v/>
      </c>
      <c r="C697" s="63" t="n"/>
      <c r="D697" s="61" t="n"/>
      <c r="E697" s="60" t="n"/>
      <c r="F697" s="61" t="n"/>
    </row>
    <row r="698">
      <c r="A698" s="60" t="n"/>
      <c r="B698" s="65">
        <f>IF(A698="","",IFERROR(INDEX(Bestand!$B$14:$B$213,MATCH(A698,Bestand!$A$14:$A$213,0)),"ID unbekannt"))</f>
        <v/>
      </c>
      <c r="C698" s="63" t="n"/>
      <c r="D698" s="61" t="n"/>
      <c r="E698" s="60" t="n"/>
      <c r="F698" s="61" t="n"/>
    </row>
    <row r="699">
      <c r="A699" s="60" t="n"/>
      <c r="B699" s="65">
        <f>IF(A699="","",IFERROR(INDEX(Bestand!$B$14:$B$213,MATCH(A699,Bestand!$A$14:$A$213,0)),"ID unbekannt"))</f>
        <v/>
      </c>
      <c r="C699" s="63" t="n"/>
      <c r="D699" s="61" t="n"/>
      <c r="E699" s="60" t="n"/>
      <c r="F699" s="61" t="n"/>
    </row>
    <row r="700">
      <c r="A700" s="60" t="n"/>
      <c r="B700" s="65">
        <f>IF(A700="","",IFERROR(INDEX(Bestand!$B$14:$B$213,MATCH(A700,Bestand!$A$14:$A$213,0)),"ID unbekannt"))</f>
        <v/>
      </c>
      <c r="C700" s="63" t="n"/>
      <c r="D700" s="61" t="n"/>
      <c r="E700" s="60" t="n"/>
      <c r="F700" s="61" t="n"/>
    </row>
    <row r="701">
      <c r="A701" s="60" t="n"/>
      <c r="B701" s="65">
        <f>IF(A701="","",IFERROR(INDEX(Bestand!$B$14:$B$213,MATCH(A701,Bestand!$A$14:$A$213,0)),"ID unbekannt"))</f>
        <v/>
      </c>
      <c r="C701" s="63" t="n"/>
      <c r="D701" s="61" t="n"/>
      <c r="E701" s="60" t="n"/>
      <c r="F701" s="61" t="n"/>
    </row>
    <row r="702">
      <c r="A702" s="60" t="n"/>
      <c r="B702" s="65">
        <f>IF(A702="","",IFERROR(INDEX(Bestand!$B$14:$B$213,MATCH(A702,Bestand!$A$14:$A$213,0)),"ID unbekannt"))</f>
        <v/>
      </c>
      <c r="C702" s="63" t="n"/>
      <c r="D702" s="61" t="n"/>
      <c r="E702" s="60" t="n"/>
      <c r="F702" s="61" t="n"/>
    </row>
    <row r="703">
      <c r="A703" s="60" t="n"/>
      <c r="B703" s="65">
        <f>IF(A703="","",IFERROR(INDEX(Bestand!$B$14:$B$213,MATCH(A703,Bestand!$A$14:$A$213,0)),"ID unbekannt"))</f>
        <v/>
      </c>
      <c r="C703" s="63" t="n"/>
      <c r="D703" s="61" t="n"/>
      <c r="E703" s="60" t="n"/>
      <c r="F703" s="61" t="n"/>
    </row>
    <row r="704">
      <c r="A704" s="60" t="n"/>
      <c r="B704" s="65">
        <f>IF(A704="","",IFERROR(INDEX(Bestand!$B$14:$B$213,MATCH(A704,Bestand!$A$14:$A$213,0)),"ID unbekannt"))</f>
        <v/>
      </c>
      <c r="C704" s="63" t="n"/>
      <c r="D704" s="61" t="n"/>
      <c r="E704" s="60" t="n"/>
      <c r="F704" s="61" t="n"/>
    </row>
    <row r="705">
      <c r="A705" s="60" t="n"/>
      <c r="B705" s="65">
        <f>IF(A705="","",IFERROR(INDEX(Bestand!$B$14:$B$213,MATCH(A705,Bestand!$A$14:$A$213,0)),"ID unbekannt"))</f>
        <v/>
      </c>
      <c r="C705" s="63" t="n"/>
      <c r="D705" s="61" t="n"/>
      <c r="E705" s="60" t="n"/>
      <c r="F705" s="61" t="n"/>
    </row>
    <row r="706">
      <c r="A706" s="60" t="n"/>
      <c r="B706" s="65">
        <f>IF(A706="","",IFERROR(INDEX(Bestand!$B$14:$B$213,MATCH(A706,Bestand!$A$14:$A$213,0)),"ID unbekannt"))</f>
        <v/>
      </c>
      <c r="C706" s="63" t="n"/>
      <c r="D706" s="61" t="n"/>
      <c r="E706" s="60" t="n"/>
      <c r="F706" s="61" t="n"/>
    </row>
    <row r="707">
      <c r="A707" s="60" t="n"/>
      <c r="B707" s="65">
        <f>IF(A707="","",IFERROR(INDEX(Bestand!$B$14:$B$213,MATCH(A707,Bestand!$A$14:$A$213,0)),"ID unbekannt"))</f>
        <v/>
      </c>
      <c r="C707" s="63" t="n"/>
      <c r="D707" s="61" t="n"/>
      <c r="E707" s="60" t="n"/>
      <c r="F707" s="61" t="n"/>
    </row>
    <row r="708">
      <c r="A708" s="60" t="n"/>
      <c r="B708" s="65">
        <f>IF(A708="","",IFERROR(INDEX(Bestand!$B$14:$B$213,MATCH(A708,Bestand!$A$14:$A$213,0)),"ID unbekannt"))</f>
        <v/>
      </c>
      <c r="C708" s="63" t="n"/>
      <c r="D708" s="61" t="n"/>
      <c r="E708" s="60" t="n"/>
      <c r="F708" s="61" t="n"/>
    </row>
    <row r="709">
      <c r="A709" s="60" t="n"/>
      <c r="B709" s="65">
        <f>IF(A709="","",IFERROR(INDEX(Bestand!$B$14:$B$213,MATCH(A709,Bestand!$A$14:$A$213,0)),"ID unbekannt"))</f>
        <v/>
      </c>
      <c r="C709" s="63" t="n"/>
      <c r="D709" s="61" t="n"/>
      <c r="E709" s="60" t="n"/>
      <c r="F709" s="61" t="n"/>
    </row>
    <row r="710">
      <c r="A710" s="60" t="n"/>
      <c r="B710" s="65">
        <f>IF(A710="","",IFERROR(INDEX(Bestand!$B$14:$B$213,MATCH(A710,Bestand!$A$14:$A$213,0)),"ID unbekannt"))</f>
        <v/>
      </c>
      <c r="C710" s="63" t="n"/>
      <c r="D710" s="61" t="n"/>
      <c r="E710" s="60" t="n"/>
      <c r="F710" s="61" t="n"/>
    </row>
    <row r="711">
      <c r="A711" s="60" t="n"/>
      <c r="B711" s="65">
        <f>IF(A711="","",IFERROR(INDEX(Bestand!$B$14:$B$213,MATCH(A711,Bestand!$A$14:$A$213,0)),"ID unbekannt"))</f>
        <v/>
      </c>
      <c r="C711" s="63" t="n"/>
      <c r="D711" s="61" t="n"/>
      <c r="E711" s="60" t="n"/>
      <c r="F711" s="61" t="n"/>
    </row>
    <row r="712">
      <c r="A712" s="60" t="n"/>
      <c r="B712" s="65">
        <f>IF(A712="","",IFERROR(INDEX(Bestand!$B$14:$B$213,MATCH(A712,Bestand!$A$14:$A$213,0)),"ID unbekannt"))</f>
        <v/>
      </c>
      <c r="C712" s="63" t="n"/>
      <c r="D712" s="61" t="n"/>
      <c r="E712" s="60" t="n"/>
      <c r="F712" s="61" t="n"/>
    </row>
    <row r="713">
      <c r="A713" s="60" t="n"/>
      <c r="B713" s="65">
        <f>IF(A713="","",IFERROR(INDEX(Bestand!$B$14:$B$213,MATCH(A713,Bestand!$A$14:$A$213,0)),"ID unbekannt"))</f>
        <v/>
      </c>
      <c r="C713" s="63" t="n"/>
      <c r="D713" s="61" t="n"/>
      <c r="E713" s="60" t="n"/>
      <c r="F713" s="61" t="n"/>
    </row>
    <row r="714">
      <c r="A714" s="60" t="n"/>
      <c r="B714" s="65">
        <f>IF(A714="","",IFERROR(INDEX(Bestand!$B$14:$B$213,MATCH(A714,Bestand!$A$14:$A$213,0)),"ID unbekannt"))</f>
        <v/>
      </c>
      <c r="C714" s="63" t="n"/>
      <c r="D714" s="61" t="n"/>
      <c r="E714" s="60" t="n"/>
      <c r="F714" s="61" t="n"/>
    </row>
    <row r="715">
      <c r="A715" s="60" t="n"/>
      <c r="B715" s="65">
        <f>IF(A715="","",IFERROR(INDEX(Bestand!$B$14:$B$213,MATCH(A715,Bestand!$A$14:$A$213,0)),"ID unbekannt"))</f>
        <v/>
      </c>
      <c r="C715" s="63" t="n"/>
      <c r="D715" s="61" t="n"/>
      <c r="E715" s="60" t="n"/>
      <c r="F715" s="61" t="n"/>
    </row>
    <row r="716">
      <c r="A716" s="60" t="n"/>
      <c r="B716" s="65">
        <f>IF(A716="","",IFERROR(INDEX(Bestand!$B$14:$B$213,MATCH(A716,Bestand!$A$14:$A$213,0)),"ID unbekannt"))</f>
        <v/>
      </c>
      <c r="C716" s="63" t="n"/>
      <c r="D716" s="61" t="n"/>
      <c r="E716" s="60" t="n"/>
      <c r="F716" s="61" t="n"/>
    </row>
    <row r="717">
      <c r="A717" s="60" t="n"/>
      <c r="B717" s="65">
        <f>IF(A717="","",IFERROR(INDEX(Bestand!$B$14:$B$213,MATCH(A717,Bestand!$A$14:$A$213,0)),"ID unbekannt"))</f>
        <v/>
      </c>
      <c r="C717" s="63" t="n"/>
      <c r="D717" s="61" t="n"/>
      <c r="E717" s="60" t="n"/>
      <c r="F717" s="61" t="n"/>
    </row>
    <row r="718">
      <c r="A718" s="60" t="n"/>
      <c r="B718" s="65">
        <f>IF(A718="","",IFERROR(INDEX(Bestand!$B$14:$B$213,MATCH(A718,Bestand!$A$14:$A$213,0)),"ID unbekannt"))</f>
        <v/>
      </c>
      <c r="C718" s="63" t="n"/>
      <c r="D718" s="61" t="n"/>
      <c r="E718" s="60" t="n"/>
      <c r="F718" s="61" t="n"/>
    </row>
    <row r="719">
      <c r="A719" s="60" t="n"/>
      <c r="B719" s="65">
        <f>IF(A719="","",IFERROR(INDEX(Bestand!$B$14:$B$213,MATCH(A719,Bestand!$A$14:$A$213,0)),"ID unbekannt"))</f>
        <v/>
      </c>
      <c r="C719" s="63" t="n"/>
      <c r="D719" s="61" t="n"/>
      <c r="E719" s="60" t="n"/>
      <c r="F719" s="61" t="n"/>
    </row>
    <row r="720">
      <c r="A720" s="60" t="n"/>
      <c r="B720" s="65">
        <f>IF(A720="","",IFERROR(INDEX(Bestand!$B$14:$B$213,MATCH(A720,Bestand!$A$14:$A$213,0)),"ID unbekannt"))</f>
        <v/>
      </c>
      <c r="C720" s="63" t="n"/>
      <c r="D720" s="61" t="n"/>
      <c r="E720" s="60" t="n"/>
      <c r="F720" s="61" t="n"/>
    </row>
    <row r="721">
      <c r="A721" s="60" t="n"/>
      <c r="B721" s="65">
        <f>IF(A721="","",IFERROR(INDEX(Bestand!$B$14:$B$213,MATCH(A721,Bestand!$A$14:$A$213,0)),"ID unbekannt"))</f>
        <v/>
      </c>
      <c r="C721" s="63" t="n"/>
      <c r="D721" s="61" t="n"/>
      <c r="E721" s="60" t="n"/>
      <c r="F721" s="61" t="n"/>
    </row>
    <row r="722">
      <c r="A722" s="60" t="n"/>
      <c r="B722" s="65">
        <f>IF(A722="","",IFERROR(INDEX(Bestand!$B$14:$B$213,MATCH(A722,Bestand!$A$14:$A$213,0)),"ID unbekannt"))</f>
        <v/>
      </c>
      <c r="C722" s="63" t="n"/>
      <c r="D722" s="61" t="n"/>
      <c r="E722" s="60" t="n"/>
      <c r="F722" s="61" t="n"/>
    </row>
    <row r="723">
      <c r="A723" s="60" t="n"/>
      <c r="B723" s="65">
        <f>IF(A723="","",IFERROR(INDEX(Bestand!$B$14:$B$213,MATCH(A723,Bestand!$A$14:$A$213,0)),"ID unbekannt"))</f>
        <v/>
      </c>
      <c r="C723" s="63" t="n"/>
      <c r="D723" s="61" t="n"/>
      <c r="E723" s="60" t="n"/>
      <c r="F723" s="61" t="n"/>
    </row>
    <row r="724">
      <c r="A724" s="60" t="n"/>
      <c r="B724" s="65">
        <f>IF(A724="","",IFERROR(INDEX(Bestand!$B$14:$B$213,MATCH(A724,Bestand!$A$14:$A$213,0)),"ID unbekannt"))</f>
        <v/>
      </c>
      <c r="C724" s="63" t="n"/>
      <c r="D724" s="61" t="n"/>
      <c r="E724" s="60" t="n"/>
      <c r="F724" s="61" t="n"/>
    </row>
    <row r="725">
      <c r="A725" s="60" t="n"/>
      <c r="B725" s="65">
        <f>IF(A725="","",IFERROR(INDEX(Bestand!$B$14:$B$213,MATCH(A725,Bestand!$A$14:$A$213,0)),"ID unbekannt"))</f>
        <v/>
      </c>
      <c r="C725" s="63" t="n"/>
      <c r="D725" s="61" t="n"/>
      <c r="E725" s="60" t="n"/>
      <c r="F725" s="61" t="n"/>
    </row>
    <row r="726">
      <c r="A726" s="60" t="n"/>
      <c r="B726" s="65">
        <f>IF(A726="","",IFERROR(INDEX(Bestand!$B$14:$B$213,MATCH(A726,Bestand!$A$14:$A$213,0)),"ID unbekannt"))</f>
        <v/>
      </c>
      <c r="C726" s="63" t="n"/>
      <c r="D726" s="61" t="n"/>
      <c r="E726" s="60" t="n"/>
      <c r="F726" s="61" t="n"/>
    </row>
    <row r="727">
      <c r="A727" s="60" t="n"/>
      <c r="B727" s="65">
        <f>IF(A727="","",IFERROR(INDEX(Bestand!$B$14:$B$213,MATCH(A727,Bestand!$A$14:$A$213,0)),"ID unbekannt"))</f>
        <v/>
      </c>
      <c r="C727" s="63" t="n"/>
      <c r="D727" s="61" t="n"/>
      <c r="E727" s="60" t="n"/>
      <c r="F727" s="61" t="n"/>
    </row>
    <row r="728">
      <c r="A728" s="60" t="n"/>
      <c r="B728" s="65">
        <f>IF(A728="","",IFERROR(INDEX(Bestand!$B$14:$B$213,MATCH(A728,Bestand!$A$14:$A$213,0)),"ID unbekannt"))</f>
        <v/>
      </c>
      <c r="C728" s="63" t="n"/>
      <c r="D728" s="61" t="n"/>
      <c r="E728" s="60" t="n"/>
      <c r="F728" s="61" t="n"/>
    </row>
    <row r="729">
      <c r="A729" s="60" t="n"/>
      <c r="B729" s="65">
        <f>IF(A729="","",IFERROR(INDEX(Bestand!$B$14:$B$213,MATCH(A729,Bestand!$A$14:$A$213,0)),"ID unbekannt"))</f>
        <v/>
      </c>
      <c r="C729" s="63" t="n"/>
      <c r="D729" s="61" t="n"/>
      <c r="E729" s="60" t="n"/>
      <c r="F729" s="61" t="n"/>
    </row>
    <row r="730">
      <c r="A730" s="60" t="n"/>
      <c r="B730" s="65">
        <f>IF(A730="","",IFERROR(INDEX(Bestand!$B$14:$B$213,MATCH(A730,Bestand!$A$14:$A$213,0)),"ID unbekannt"))</f>
        <v/>
      </c>
      <c r="C730" s="63" t="n"/>
      <c r="D730" s="61" t="n"/>
      <c r="E730" s="60" t="n"/>
      <c r="F730" s="61" t="n"/>
    </row>
    <row r="731">
      <c r="A731" s="60" t="n"/>
      <c r="B731" s="65">
        <f>IF(A731="","",IFERROR(INDEX(Bestand!$B$14:$B$213,MATCH(A731,Bestand!$A$14:$A$213,0)),"ID unbekannt"))</f>
        <v/>
      </c>
      <c r="C731" s="63" t="n"/>
      <c r="D731" s="61" t="n"/>
      <c r="E731" s="60" t="n"/>
      <c r="F731" s="61" t="n"/>
    </row>
    <row r="732">
      <c r="A732" s="60" t="n"/>
      <c r="B732" s="65">
        <f>IF(A732="","",IFERROR(INDEX(Bestand!$B$14:$B$213,MATCH(A732,Bestand!$A$14:$A$213,0)),"ID unbekannt"))</f>
        <v/>
      </c>
      <c r="C732" s="63" t="n"/>
      <c r="D732" s="61" t="n"/>
      <c r="E732" s="60" t="n"/>
      <c r="F732" s="61" t="n"/>
    </row>
    <row r="733">
      <c r="A733" s="60" t="n"/>
      <c r="B733" s="65">
        <f>IF(A733="","",IFERROR(INDEX(Bestand!$B$14:$B$213,MATCH(A733,Bestand!$A$14:$A$213,0)),"ID unbekannt"))</f>
        <v/>
      </c>
      <c r="C733" s="63" t="n"/>
      <c r="D733" s="61" t="n"/>
      <c r="E733" s="60" t="n"/>
      <c r="F733" s="61" t="n"/>
    </row>
    <row r="734">
      <c r="A734" s="60" t="n"/>
      <c r="B734" s="65">
        <f>IF(A734="","",IFERROR(INDEX(Bestand!$B$14:$B$213,MATCH(A734,Bestand!$A$14:$A$213,0)),"ID unbekannt"))</f>
        <v/>
      </c>
      <c r="C734" s="63" t="n"/>
      <c r="D734" s="61" t="n"/>
      <c r="E734" s="60" t="n"/>
      <c r="F734" s="61" t="n"/>
    </row>
    <row r="735">
      <c r="A735" s="60" t="n"/>
      <c r="B735" s="65">
        <f>IF(A735="","",IFERROR(INDEX(Bestand!$B$14:$B$213,MATCH(A735,Bestand!$A$14:$A$213,0)),"ID unbekannt"))</f>
        <v/>
      </c>
      <c r="C735" s="63" t="n"/>
      <c r="D735" s="61" t="n"/>
      <c r="E735" s="60" t="n"/>
      <c r="F735" s="61" t="n"/>
    </row>
    <row r="736">
      <c r="A736" s="60" t="n"/>
      <c r="B736" s="65">
        <f>IF(A736="","",IFERROR(INDEX(Bestand!$B$14:$B$213,MATCH(A736,Bestand!$A$14:$A$213,0)),"ID unbekannt"))</f>
        <v/>
      </c>
      <c r="C736" s="63" t="n"/>
      <c r="D736" s="61" t="n"/>
      <c r="E736" s="60" t="n"/>
      <c r="F736" s="61" t="n"/>
    </row>
    <row r="737">
      <c r="A737" s="60" t="n"/>
      <c r="B737" s="65">
        <f>IF(A737="","",IFERROR(INDEX(Bestand!$B$14:$B$213,MATCH(A737,Bestand!$A$14:$A$213,0)),"ID unbekannt"))</f>
        <v/>
      </c>
      <c r="C737" s="63" t="n"/>
      <c r="D737" s="61" t="n"/>
      <c r="E737" s="60" t="n"/>
      <c r="F737" s="61" t="n"/>
    </row>
    <row r="738">
      <c r="A738" s="60" t="n"/>
      <c r="B738" s="65">
        <f>IF(A738="","",IFERROR(INDEX(Bestand!$B$14:$B$213,MATCH(A738,Bestand!$A$14:$A$213,0)),"ID unbekannt"))</f>
        <v/>
      </c>
      <c r="C738" s="63" t="n"/>
      <c r="D738" s="61" t="n"/>
      <c r="E738" s="60" t="n"/>
      <c r="F738" s="61" t="n"/>
    </row>
    <row r="739">
      <c r="A739" s="60" t="n"/>
      <c r="B739" s="65">
        <f>IF(A739="","",IFERROR(INDEX(Bestand!$B$14:$B$213,MATCH(A739,Bestand!$A$14:$A$213,0)),"ID unbekannt"))</f>
        <v/>
      </c>
      <c r="C739" s="63" t="n"/>
      <c r="D739" s="61" t="n"/>
      <c r="E739" s="60" t="n"/>
      <c r="F739" s="61" t="n"/>
    </row>
    <row r="740">
      <c r="A740" s="60" t="n"/>
      <c r="B740" s="65">
        <f>IF(A740="","",IFERROR(INDEX(Bestand!$B$14:$B$213,MATCH(A740,Bestand!$A$14:$A$213,0)),"ID unbekannt"))</f>
        <v/>
      </c>
      <c r="C740" s="63" t="n"/>
      <c r="D740" s="61" t="n"/>
      <c r="E740" s="60" t="n"/>
      <c r="F740" s="61" t="n"/>
    </row>
    <row r="741">
      <c r="A741" s="60" t="n"/>
      <c r="B741" s="65">
        <f>IF(A741="","",IFERROR(INDEX(Bestand!$B$14:$B$213,MATCH(A741,Bestand!$A$14:$A$213,0)),"ID unbekannt"))</f>
        <v/>
      </c>
      <c r="C741" s="63" t="n"/>
      <c r="D741" s="61" t="n"/>
      <c r="E741" s="60" t="n"/>
      <c r="F741" s="61" t="n"/>
    </row>
    <row r="742">
      <c r="A742" s="60" t="n"/>
      <c r="B742" s="65">
        <f>IF(A742="","",IFERROR(INDEX(Bestand!$B$14:$B$213,MATCH(A742,Bestand!$A$14:$A$213,0)),"ID unbekannt"))</f>
        <v/>
      </c>
      <c r="C742" s="63" t="n"/>
      <c r="D742" s="61" t="n"/>
      <c r="E742" s="60" t="n"/>
      <c r="F742" s="61" t="n"/>
    </row>
    <row r="743">
      <c r="A743" s="60" t="n"/>
      <c r="B743" s="65">
        <f>IF(A743="","",IFERROR(INDEX(Bestand!$B$14:$B$213,MATCH(A743,Bestand!$A$14:$A$213,0)),"ID unbekannt"))</f>
        <v/>
      </c>
      <c r="C743" s="63" t="n"/>
      <c r="D743" s="61" t="n"/>
      <c r="E743" s="60" t="n"/>
      <c r="F743" s="61" t="n"/>
    </row>
    <row r="744">
      <c r="A744" s="60" t="n"/>
      <c r="B744" s="65">
        <f>IF(A744="","",IFERROR(INDEX(Bestand!$B$14:$B$213,MATCH(A744,Bestand!$A$14:$A$213,0)),"ID unbekannt"))</f>
        <v/>
      </c>
      <c r="C744" s="63" t="n"/>
      <c r="D744" s="61" t="n"/>
      <c r="E744" s="60" t="n"/>
      <c r="F744" s="61" t="n"/>
    </row>
    <row r="745">
      <c r="A745" s="60" t="n"/>
      <c r="B745" s="65">
        <f>IF(A745="","",IFERROR(INDEX(Bestand!$B$14:$B$213,MATCH(A745,Bestand!$A$14:$A$213,0)),"ID unbekannt"))</f>
        <v/>
      </c>
      <c r="C745" s="63" t="n"/>
      <c r="D745" s="61" t="n"/>
      <c r="E745" s="60" t="n"/>
      <c r="F745" s="61" t="n"/>
    </row>
    <row r="746">
      <c r="A746" s="60" t="n"/>
      <c r="B746" s="65">
        <f>IF(A746="","",IFERROR(INDEX(Bestand!$B$14:$B$213,MATCH(A746,Bestand!$A$14:$A$213,0)),"ID unbekannt"))</f>
        <v/>
      </c>
      <c r="C746" s="63" t="n"/>
      <c r="D746" s="61" t="n"/>
      <c r="E746" s="60" t="n"/>
      <c r="F746" s="61" t="n"/>
    </row>
    <row r="747">
      <c r="A747" s="60" t="n"/>
      <c r="B747" s="65">
        <f>IF(A747="","",IFERROR(INDEX(Bestand!$B$14:$B$213,MATCH(A747,Bestand!$A$14:$A$213,0)),"ID unbekannt"))</f>
        <v/>
      </c>
      <c r="C747" s="63" t="n"/>
      <c r="D747" s="61" t="n"/>
      <c r="E747" s="60" t="n"/>
      <c r="F747" s="61" t="n"/>
    </row>
    <row r="748">
      <c r="A748" s="60" t="n"/>
      <c r="B748" s="65">
        <f>IF(A748="","",IFERROR(INDEX(Bestand!$B$14:$B$213,MATCH(A748,Bestand!$A$14:$A$213,0)),"ID unbekannt"))</f>
        <v/>
      </c>
      <c r="C748" s="63" t="n"/>
      <c r="D748" s="61" t="n"/>
      <c r="E748" s="60" t="n"/>
      <c r="F748" s="61" t="n"/>
    </row>
    <row r="749">
      <c r="A749" s="60" t="n"/>
      <c r="B749" s="65">
        <f>IF(A749="","",IFERROR(INDEX(Bestand!$B$14:$B$213,MATCH(A749,Bestand!$A$14:$A$213,0)),"ID unbekannt"))</f>
        <v/>
      </c>
      <c r="C749" s="63" t="n"/>
      <c r="D749" s="61" t="n"/>
      <c r="E749" s="60" t="n"/>
      <c r="F749" s="61" t="n"/>
    </row>
    <row r="750">
      <c r="A750" s="60" t="n"/>
      <c r="B750" s="65">
        <f>IF(A750="","",IFERROR(INDEX(Bestand!$B$14:$B$213,MATCH(A750,Bestand!$A$14:$A$213,0)),"ID unbekannt"))</f>
        <v/>
      </c>
      <c r="C750" s="63" t="n"/>
      <c r="D750" s="61" t="n"/>
      <c r="E750" s="60" t="n"/>
      <c r="F750" s="61" t="n"/>
    </row>
    <row r="751">
      <c r="A751" s="60" t="n"/>
      <c r="B751" s="65">
        <f>IF(A751="","",IFERROR(INDEX(Bestand!$B$14:$B$213,MATCH(A751,Bestand!$A$14:$A$213,0)),"ID unbekannt"))</f>
        <v/>
      </c>
      <c r="C751" s="63" t="n"/>
      <c r="D751" s="61" t="n"/>
      <c r="E751" s="60" t="n"/>
      <c r="F751" s="61" t="n"/>
    </row>
    <row r="752">
      <c r="A752" s="60" t="n"/>
      <c r="B752" s="65">
        <f>IF(A752="","",IFERROR(INDEX(Bestand!$B$14:$B$213,MATCH(A752,Bestand!$A$14:$A$213,0)),"ID unbekannt"))</f>
        <v/>
      </c>
      <c r="C752" s="63" t="n"/>
      <c r="D752" s="61" t="n"/>
      <c r="E752" s="60" t="n"/>
      <c r="F752" s="61" t="n"/>
    </row>
    <row r="753">
      <c r="A753" s="60" t="n"/>
      <c r="B753" s="65">
        <f>IF(A753="","",IFERROR(INDEX(Bestand!$B$14:$B$213,MATCH(A753,Bestand!$A$14:$A$213,0)),"ID unbekannt"))</f>
        <v/>
      </c>
      <c r="C753" s="63" t="n"/>
      <c r="D753" s="61" t="n"/>
      <c r="E753" s="60" t="n"/>
      <c r="F753" s="61" t="n"/>
    </row>
    <row r="754">
      <c r="A754" s="60" t="n"/>
      <c r="B754" s="65">
        <f>IF(A754="","",IFERROR(INDEX(Bestand!$B$14:$B$213,MATCH(A754,Bestand!$A$14:$A$213,0)),"ID unbekannt"))</f>
        <v/>
      </c>
      <c r="C754" s="63" t="n"/>
      <c r="D754" s="61" t="n"/>
      <c r="E754" s="60" t="n"/>
      <c r="F754" s="61" t="n"/>
    </row>
    <row r="755">
      <c r="A755" s="60" t="n"/>
      <c r="B755" s="65">
        <f>IF(A755="","",IFERROR(INDEX(Bestand!$B$14:$B$213,MATCH(A755,Bestand!$A$14:$A$213,0)),"ID unbekannt"))</f>
        <v/>
      </c>
      <c r="C755" s="63" t="n"/>
      <c r="D755" s="61" t="n"/>
      <c r="E755" s="60" t="n"/>
      <c r="F755" s="61" t="n"/>
    </row>
    <row r="756">
      <c r="A756" s="60" t="n"/>
      <c r="B756" s="65">
        <f>IF(A756="","",IFERROR(INDEX(Bestand!$B$14:$B$213,MATCH(A756,Bestand!$A$14:$A$213,0)),"ID unbekannt"))</f>
        <v/>
      </c>
      <c r="C756" s="63" t="n"/>
      <c r="D756" s="61" t="n"/>
      <c r="E756" s="60" t="n"/>
      <c r="F756" s="61" t="n"/>
    </row>
    <row r="757">
      <c r="A757" s="60" t="n"/>
      <c r="B757" s="65">
        <f>IF(A757="","",IFERROR(INDEX(Bestand!$B$14:$B$213,MATCH(A757,Bestand!$A$14:$A$213,0)),"ID unbekannt"))</f>
        <v/>
      </c>
      <c r="C757" s="63" t="n"/>
      <c r="D757" s="61" t="n"/>
      <c r="E757" s="60" t="n"/>
      <c r="F757" s="61" t="n"/>
    </row>
    <row r="758">
      <c r="A758" s="60" t="n"/>
      <c r="B758" s="65">
        <f>IF(A758="","",IFERROR(INDEX(Bestand!$B$14:$B$213,MATCH(A758,Bestand!$A$14:$A$213,0)),"ID unbekannt"))</f>
        <v/>
      </c>
      <c r="C758" s="63" t="n"/>
      <c r="D758" s="61" t="n"/>
      <c r="E758" s="60" t="n"/>
      <c r="F758" s="61" t="n"/>
    </row>
    <row r="759">
      <c r="A759" s="60" t="n"/>
      <c r="B759" s="65">
        <f>IF(A759="","",IFERROR(INDEX(Bestand!$B$14:$B$213,MATCH(A759,Bestand!$A$14:$A$213,0)),"ID unbekannt"))</f>
        <v/>
      </c>
      <c r="C759" s="63" t="n"/>
      <c r="D759" s="61" t="n"/>
      <c r="E759" s="60" t="n"/>
      <c r="F759" s="61" t="n"/>
    </row>
    <row r="760">
      <c r="A760" s="60" t="n"/>
      <c r="B760" s="65">
        <f>IF(A760="","",IFERROR(INDEX(Bestand!$B$14:$B$213,MATCH(A760,Bestand!$A$14:$A$213,0)),"ID unbekannt"))</f>
        <v/>
      </c>
      <c r="C760" s="63" t="n"/>
      <c r="D760" s="61" t="n"/>
      <c r="E760" s="60" t="n"/>
      <c r="F760" s="61" t="n"/>
    </row>
    <row r="761">
      <c r="A761" s="60" t="n"/>
      <c r="B761" s="65">
        <f>IF(A761="","",IFERROR(INDEX(Bestand!$B$14:$B$213,MATCH(A761,Bestand!$A$14:$A$213,0)),"ID unbekannt"))</f>
        <v/>
      </c>
      <c r="C761" s="63" t="n"/>
      <c r="D761" s="61" t="n"/>
      <c r="E761" s="60" t="n"/>
      <c r="F761" s="61" t="n"/>
    </row>
    <row r="762">
      <c r="A762" s="60" t="n"/>
      <c r="B762" s="65">
        <f>IF(A762="","",IFERROR(INDEX(Bestand!$B$14:$B$213,MATCH(A762,Bestand!$A$14:$A$213,0)),"ID unbekannt"))</f>
        <v/>
      </c>
      <c r="C762" s="63" t="n"/>
      <c r="D762" s="61" t="n"/>
      <c r="E762" s="60" t="n"/>
      <c r="F762" s="61" t="n"/>
    </row>
    <row r="763">
      <c r="A763" s="60" t="n"/>
      <c r="B763" s="65">
        <f>IF(A763="","",IFERROR(INDEX(Bestand!$B$14:$B$213,MATCH(A763,Bestand!$A$14:$A$213,0)),"ID unbekannt"))</f>
        <v/>
      </c>
      <c r="C763" s="63" t="n"/>
      <c r="D763" s="61" t="n"/>
      <c r="E763" s="60" t="n"/>
      <c r="F763" s="61" t="n"/>
    </row>
    <row r="764">
      <c r="A764" s="60" t="n"/>
      <c r="B764" s="65">
        <f>IF(A764="","",IFERROR(INDEX(Bestand!$B$14:$B$213,MATCH(A764,Bestand!$A$14:$A$213,0)),"ID unbekannt"))</f>
        <v/>
      </c>
      <c r="C764" s="63" t="n"/>
      <c r="D764" s="61" t="n"/>
      <c r="E764" s="60" t="n"/>
      <c r="F764" s="61" t="n"/>
    </row>
    <row r="765">
      <c r="A765" s="60" t="n"/>
      <c r="B765" s="65">
        <f>IF(A765="","",IFERROR(INDEX(Bestand!$B$14:$B$213,MATCH(A765,Bestand!$A$14:$A$213,0)),"ID unbekannt"))</f>
        <v/>
      </c>
      <c r="C765" s="63" t="n"/>
      <c r="D765" s="61" t="n"/>
      <c r="E765" s="60" t="n"/>
      <c r="F765" s="61" t="n"/>
    </row>
    <row r="766">
      <c r="A766" s="60" t="n"/>
      <c r="B766" s="65">
        <f>IF(A766="","",IFERROR(INDEX(Bestand!$B$14:$B$213,MATCH(A766,Bestand!$A$14:$A$213,0)),"ID unbekannt"))</f>
        <v/>
      </c>
      <c r="C766" s="63" t="n"/>
      <c r="D766" s="61" t="n"/>
      <c r="E766" s="60" t="n"/>
      <c r="F766" s="61" t="n"/>
    </row>
    <row r="767">
      <c r="A767" s="60" t="n"/>
      <c r="B767" s="65">
        <f>IF(A767="","",IFERROR(INDEX(Bestand!$B$14:$B$213,MATCH(A767,Bestand!$A$14:$A$213,0)),"ID unbekannt"))</f>
        <v/>
      </c>
      <c r="C767" s="63" t="n"/>
      <c r="D767" s="61" t="n"/>
      <c r="E767" s="60" t="n"/>
      <c r="F767" s="61" t="n"/>
    </row>
    <row r="768">
      <c r="A768" s="60" t="n"/>
      <c r="B768" s="65">
        <f>IF(A768="","",IFERROR(INDEX(Bestand!$B$14:$B$213,MATCH(A768,Bestand!$A$14:$A$213,0)),"ID unbekannt"))</f>
        <v/>
      </c>
      <c r="C768" s="63" t="n"/>
      <c r="D768" s="61" t="n"/>
      <c r="E768" s="60" t="n"/>
      <c r="F768" s="61" t="n"/>
    </row>
    <row r="769">
      <c r="A769" s="60" t="n"/>
      <c r="B769" s="65">
        <f>IF(A769="","",IFERROR(INDEX(Bestand!$B$14:$B$213,MATCH(A769,Bestand!$A$14:$A$213,0)),"ID unbekannt"))</f>
        <v/>
      </c>
      <c r="C769" s="63" t="n"/>
      <c r="D769" s="61" t="n"/>
      <c r="E769" s="60" t="n"/>
      <c r="F769" s="61" t="n"/>
    </row>
    <row r="770">
      <c r="A770" s="60" t="n"/>
      <c r="B770" s="65">
        <f>IF(A770="","",IFERROR(INDEX(Bestand!$B$14:$B$213,MATCH(A770,Bestand!$A$14:$A$213,0)),"ID unbekannt"))</f>
        <v/>
      </c>
      <c r="C770" s="63" t="n"/>
      <c r="D770" s="61" t="n"/>
      <c r="E770" s="60" t="n"/>
      <c r="F770" s="61" t="n"/>
    </row>
    <row r="771">
      <c r="A771" s="60" t="n"/>
      <c r="B771" s="65">
        <f>IF(A771="","",IFERROR(INDEX(Bestand!$B$14:$B$213,MATCH(A771,Bestand!$A$14:$A$213,0)),"ID unbekannt"))</f>
        <v/>
      </c>
      <c r="C771" s="63" t="n"/>
      <c r="D771" s="61" t="n"/>
      <c r="E771" s="60" t="n"/>
      <c r="F771" s="61" t="n"/>
    </row>
    <row r="772">
      <c r="A772" s="60" t="n"/>
      <c r="B772" s="65">
        <f>IF(A772="","",IFERROR(INDEX(Bestand!$B$14:$B$213,MATCH(A772,Bestand!$A$14:$A$213,0)),"ID unbekannt"))</f>
        <v/>
      </c>
      <c r="C772" s="63" t="n"/>
      <c r="D772" s="61" t="n"/>
      <c r="E772" s="60" t="n"/>
      <c r="F772" s="61" t="n"/>
    </row>
    <row r="773">
      <c r="A773" s="60" t="n"/>
      <c r="B773" s="65">
        <f>IF(A773="","",IFERROR(INDEX(Bestand!$B$14:$B$213,MATCH(A773,Bestand!$A$14:$A$213,0)),"ID unbekannt"))</f>
        <v/>
      </c>
      <c r="C773" s="63" t="n"/>
      <c r="D773" s="61" t="n"/>
      <c r="E773" s="60" t="n"/>
      <c r="F773" s="61" t="n"/>
    </row>
    <row r="774">
      <c r="A774" s="60" t="n"/>
      <c r="B774" s="65">
        <f>IF(A774="","",IFERROR(INDEX(Bestand!$B$14:$B$213,MATCH(A774,Bestand!$A$14:$A$213,0)),"ID unbekannt"))</f>
        <v/>
      </c>
      <c r="C774" s="63" t="n"/>
      <c r="D774" s="61" t="n"/>
      <c r="E774" s="60" t="n"/>
      <c r="F774" s="61" t="n"/>
    </row>
    <row r="775">
      <c r="A775" s="60" t="n"/>
      <c r="B775" s="65">
        <f>IF(A775="","",IFERROR(INDEX(Bestand!$B$14:$B$213,MATCH(A775,Bestand!$A$14:$A$213,0)),"ID unbekannt"))</f>
        <v/>
      </c>
      <c r="C775" s="63" t="n"/>
      <c r="D775" s="61" t="n"/>
      <c r="E775" s="60" t="n"/>
      <c r="F775" s="61" t="n"/>
    </row>
    <row r="776">
      <c r="A776" s="60" t="n"/>
      <c r="B776" s="65">
        <f>IF(A776="","",IFERROR(INDEX(Bestand!$B$14:$B$213,MATCH(A776,Bestand!$A$14:$A$213,0)),"ID unbekannt"))</f>
        <v/>
      </c>
      <c r="C776" s="63" t="n"/>
      <c r="D776" s="61" t="n"/>
      <c r="E776" s="60" t="n"/>
      <c r="F776" s="61" t="n"/>
    </row>
    <row r="777">
      <c r="A777" s="60" t="n"/>
      <c r="B777" s="65">
        <f>IF(A777="","",IFERROR(INDEX(Bestand!$B$14:$B$213,MATCH(A777,Bestand!$A$14:$A$213,0)),"ID unbekannt"))</f>
        <v/>
      </c>
      <c r="C777" s="63" t="n"/>
      <c r="D777" s="61" t="n"/>
      <c r="E777" s="60" t="n"/>
      <c r="F777" s="61" t="n"/>
    </row>
    <row r="778">
      <c r="A778" s="60" t="n"/>
      <c r="B778" s="65">
        <f>IF(A778="","",IFERROR(INDEX(Bestand!$B$14:$B$213,MATCH(A778,Bestand!$A$14:$A$213,0)),"ID unbekannt"))</f>
        <v/>
      </c>
      <c r="C778" s="63" t="n"/>
      <c r="D778" s="61" t="n"/>
      <c r="E778" s="60" t="n"/>
      <c r="F778" s="61" t="n"/>
    </row>
    <row r="779">
      <c r="A779" s="60" t="n"/>
      <c r="B779" s="65">
        <f>IF(A779="","",IFERROR(INDEX(Bestand!$B$14:$B$213,MATCH(A779,Bestand!$A$14:$A$213,0)),"ID unbekannt"))</f>
        <v/>
      </c>
      <c r="C779" s="63" t="n"/>
      <c r="D779" s="61" t="n"/>
      <c r="E779" s="60" t="n"/>
      <c r="F779" s="61" t="n"/>
    </row>
    <row r="780">
      <c r="A780" s="60" t="n"/>
      <c r="B780" s="65">
        <f>IF(A780="","",IFERROR(INDEX(Bestand!$B$14:$B$213,MATCH(A780,Bestand!$A$14:$A$213,0)),"ID unbekannt"))</f>
        <v/>
      </c>
      <c r="C780" s="63" t="n"/>
      <c r="D780" s="61" t="n"/>
      <c r="E780" s="60" t="n"/>
      <c r="F780" s="61" t="n"/>
    </row>
    <row r="781">
      <c r="A781" s="60" t="n"/>
      <c r="B781" s="65">
        <f>IF(A781="","",IFERROR(INDEX(Bestand!$B$14:$B$213,MATCH(A781,Bestand!$A$14:$A$213,0)),"ID unbekannt"))</f>
        <v/>
      </c>
      <c r="C781" s="63" t="n"/>
      <c r="D781" s="61" t="n"/>
      <c r="E781" s="60" t="n"/>
      <c r="F781" s="61" t="n"/>
    </row>
    <row r="782">
      <c r="A782" s="60" t="n"/>
      <c r="B782" s="65">
        <f>IF(A782="","",IFERROR(INDEX(Bestand!$B$14:$B$213,MATCH(A782,Bestand!$A$14:$A$213,0)),"ID unbekannt"))</f>
        <v/>
      </c>
      <c r="C782" s="63" t="n"/>
      <c r="D782" s="61" t="n"/>
      <c r="E782" s="60" t="n"/>
      <c r="F782" s="61" t="n"/>
    </row>
    <row r="783">
      <c r="A783" s="60" t="n"/>
      <c r="B783" s="65">
        <f>IF(A783="","",IFERROR(INDEX(Bestand!$B$14:$B$213,MATCH(A783,Bestand!$A$14:$A$213,0)),"ID unbekannt"))</f>
        <v/>
      </c>
      <c r="C783" s="63" t="n"/>
      <c r="D783" s="61" t="n"/>
      <c r="E783" s="60" t="n"/>
      <c r="F783" s="61" t="n"/>
    </row>
    <row r="784">
      <c r="A784" s="60" t="n"/>
      <c r="B784" s="65">
        <f>IF(A784="","",IFERROR(INDEX(Bestand!$B$14:$B$213,MATCH(A784,Bestand!$A$14:$A$213,0)),"ID unbekannt"))</f>
        <v/>
      </c>
      <c r="C784" s="63" t="n"/>
      <c r="D784" s="61" t="n"/>
      <c r="E784" s="60" t="n"/>
      <c r="F784" s="61" t="n"/>
    </row>
    <row r="785">
      <c r="A785" s="60" t="n"/>
      <c r="B785" s="65">
        <f>IF(A785="","",IFERROR(INDEX(Bestand!$B$14:$B$213,MATCH(A785,Bestand!$A$14:$A$213,0)),"ID unbekannt"))</f>
        <v/>
      </c>
      <c r="C785" s="63" t="n"/>
      <c r="D785" s="61" t="n"/>
      <c r="E785" s="60" t="n"/>
      <c r="F785" s="61" t="n"/>
    </row>
    <row r="786">
      <c r="A786" s="60" t="n"/>
      <c r="B786" s="65">
        <f>IF(A786="","",IFERROR(INDEX(Bestand!$B$14:$B$213,MATCH(A786,Bestand!$A$14:$A$213,0)),"ID unbekannt"))</f>
        <v/>
      </c>
      <c r="C786" s="63" t="n"/>
      <c r="D786" s="61" t="n"/>
      <c r="E786" s="60" t="n"/>
      <c r="F786" s="61" t="n"/>
    </row>
    <row r="787">
      <c r="A787" s="60" t="n"/>
      <c r="B787" s="65">
        <f>IF(A787="","",IFERROR(INDEX(Bestand!$B$14:$B$213,MATCH(A787,Bestand!$A$14:$A$213,0)),"ID unbekannt"))</f>
        <v/>
      </c>
      <c r="C787" s="63" t="n"/>
      <c r="D787" s="61" t="n"/>
      <c r="E787" s="60" t="n"/>
      <c r="F787" s="61" t="n"/>
    </row>
    <row r="788">
      <c r="A788" s="60" t="n"/>
      <c r="B788" s="65">
        <f>IF(A788="","",IFERROR(INDEX(Bestand!$B$14:$B$213,MATCH(A788,Bestand!$A$14:$A$213,0)),"ID unbekannt"))</f>
        <v/>
      </c>
      <c r="C788" s="63" t="n"/>
      <c r="D788" s="61" t="n"/>
      <c r="E788" s="60" t="n"/>
      <c r="F788" s="61" t="n"/>
    </row>
    <row r="789">
      <c r="A789" s="60" t="n"/>
      <c r="B789" s="65">
        <f>IF(A789="","",IFERROR(INDEX(Bestand!$B$14:$B$213,MATCH(A789,Bestand!$A$14:$A$213,0)),"ID unbekannt"))</f>
        <v/>
      </c>
      <c r="C789" s="63" t="n"/>
      <c r="D789" s="61" t="n"/>
      <c r="E789" s="60" t="n"/>
      <c r="F789" s="61" t="n"/>
    </row>
    <row r="790">
      <c r="A790" s="60" t="n"/>
      <c r="B790" s="65">
        <f>IF(A790="","",IFERROR(INDEX(Bestand!$B$14:$B$213,MATCH(A790,Bestand!$A$14:$A$213,0)),"ID unbekannt"))</f>
        <v/>
      </c>
      <c r="C790" s="63" t="n"/>
      <c r="D790" s="61" t="n"/>
      <c r="E790" s="60" t="n"/>
      <c r="F790" s="61" t="n"/>
    </row>
    <row r="791">
      <c r="A791" s="60" t="n"/>
      <c r="B791" s="65">
        <f>IF(A791="","",IFERROR(INDEX(Bestand!$B$14:$B$213,MATCH(A791,Bestand!$A$14:$A$213,0)),"ID unbekannt"))</f>
        <v/>
      </c>
      <c r="C791" s="63" t="n"/>
      <c r="D791" s="61" t="n"/>
      <c r="E791" s="60" t="n"/>
      <c r="F791" s="61" t="n"/>
    </row>
    <row r="792">
      <c r="A792" s="60" t="n"/>
      <c r="B792" s="65">
        <f>IF(A792="","",IFERROR(INDEX(Bestand!$B$14:$B$213,MATCH(A792,Bestand!$A$14:$A$213,0)),"ID unbekannt"))</f>
        <v/>
      </c>
      <c r="C792" s="63" t="n"/>
      <c r="D792" s="61" t="n"/>
      <c r="E792" s="60" t="n"/>
      <c r="F792" s="61" t="n"/>
    </row>
    <row r="793">
      <c r="A793" s="60" t="n"/>
      <c r="B793" s="65">
        <f>IF(A793="","",IFERROR(INDEX(Bestand!$B$14:$B$213,MATCH(A793,Bestand!$A$14:$A$213,0)),"ID unbekannt"))</f>
        <v/>
      </c>
      <c r="C793" s="63" t="n"/>
      <c r="D793" s="61" t="n"/>
      <c r="E793" s="60" t="n"/>
      <c r="F793" s="61" t="n"/>
    </row>
    <row r="794">
      <c r="A794" s="60" t="n"/>
      <c r="B794" s="65">
        <f>IF(A794="","",IFERROR(INDEX(Bestand!$B$14:$B$213,MATCH(A794,Bestand!$A$14:$A$213,0)),"ID unbekannt"))</f>
        <v/>
      </c>
      <c r="C794" s="63" t="n"/>
      <c r="D794" s="61" t="n"/>
      <c r="E794" s="60" t="n"/>
      <c r="F794" s="61" t="n"/>
    </row>
    <row r="795">
      <c r="A795" s="60" t="n"/>
      <c r="B795" s="65">
        <f>IF(A795="","",IFERROR(INDEX(Bestand!$B$14:$B$213,MATCH(A795,Bestand!$A$14:$A$213,0)),"ID unbekannt"))</f>
        <v/>
      </c>
      <c r="C795" s="63" t="n"/>
      <c r="D795" s="61" t="n"/>
      <c r="E795" s="60" t="n"/>
      <c r="F795" s="61" t="n"/>
    </row>
    <row r="796">
      <c r="A796" s="60" t="n"/>
      <c r="B796" s="65">
        <f>IF(A796="","",IFERROR(INDEX(Bestand!$B$14:$B$213,MATCH(A796,Bestand!$A$14:$A$213,0)),"ID unbekannt"))</f>
        <v/>
      </c>
      <c r="C796" s="63" t="n"/>
      <c r="D796" s="61" t="n"/>
      <c r="E796" s="60" t="n"/>
      <c r="F796" s="61" t="n"/>
    </row>
    <row r="797">
      <c r="A797" s="60" t="n"/>
      <c r="B797" s="65">
        <f>IF(A797="","",IFERROR(INDEX(Bestand!$B$14:$B$213,MATCH(A797,Bestand!$A$14:$A$213,0)),"ID unbekannt"))</f>
        <v/>
      </c>
      <c r="C797" s="63" t="n"/>
      <c r="D797" s="61" t="n"/>
      <c r="E797" s="60" t="n"/>
      <c r="F797" s="61" t="n"/>
    </row>
    <row r="798">
      <c r="A798" s="60" t="n"/>
      <c r="B798" s="65">
        <f>IF(A798="","",IFERROR(INDEX(Bestand!$B$14:$B$213,MATCH(A798,Bestand!$A$14:$A$213,0)),"ID unbekannt"))</f>
        <v/>
      </c>
      <c r="C798" s="63" t="n"/>
      <c r="D798" s="61" t="n"/>
      <c r="E798" s="60" t="n"/>
      <c r="F798" s="61" t="n"/>
    </row>
    <row r="799">
      <c r="A799" s="60" t="n"/>
      <c r="B799" s="65">
        <f>IF(A799="","",IFERROR(INDEX(Bestand!$B$14:$B$213,MATCH(A799,Bestand!$A$14:$A$213,0)),"ID unbekannt"))</f>
        <v/>
      </c>
      <c r="C799" s="63" t="n"/>
      <c r="D799" s="61" t="n"/>
      <c r="E799" s="60" t="n"/>
      <c r="F799" s="61" t="n"/>
    </row>
    <row r="800">
      <c r="A800" s="60" t="n"/>
      <c r="B800" s="65">
        <f>IF(A800="","",IFERROR(INDEX(Bestand!$B$14:$B$213,MATCH(A800,Bestand!$A$14:$A$213,0)),"ID unbekannt"))</f>
        <v/>
      </c>
      <c r="C800" s="63" t="n"/>
      <c r="D800" s="61" t="n"/>
      <c r="E800" s="60" t="n"/>
      <c r="F800" s="61" t="n"/>
    </row>
    <row r="801">
      <c r="A801" s="60" t="n"/>
      <c r="B801" s="65">
        <f>IF(A801="","",IFERROR(INDEX(Bestand!$B$14:$B$213,MATCH(A801,Bestand!$A$14:$A$213,0)),"ID unbekannt"))</f>
        <v/>
      </c>
      <c r="C801" s="63" t="n"/>
      <c r="D801" s="61" t="n"/>
      <c r="E801" s="60" t="n"/>
      <c r="F801" s="61" t="n"/>
    </row>
    <row r="802">
      <c r="A802" s="60" t="n"/>
      <c r="B802" s="65">
        <f>IF(A802="","",IFERROR(INDEX(Bestand!$B$14:$B$213,MATCH(A802,Bestand!$A$14:$A$213,0)),"ID unbekannt"))</f>
        <v/>
      </c>
      <c r="C802" s="63" t="n"/>
      <c r="D802" s="61" t="n"/>
      <c r="E802" s="60" t="n"/>
      <c r="F802" s="61" t="n"/>
    </row>
    <row r="803">
      <c r="A803" s="60" t="n"/>
      <c r="B803" s="65">
        <f>IF(A803="","",IFERROR(INDEX(Bestand!$B$14:$B$213,MATCH(A803,Bestand!$A$14:$A$213,0)),"ID unbekannt"))</f>
        <v/>
      </c>
      <c r="C803" s="63" t="n"/>
      <c r="D803" s="61" t="n"/>
      <c r="E803" s="60" t="n"/>
      <c r="F803" s="61" t="n"/>
    </row>
    <row r="804">
      <c r="A804" s="60" t="n"/>
      <c r="B804" s="65">
        <f>IF(A804="","",IFERROR(INDEX(Bestand!$B$14:$B$213,MATCH(A804,Bestand!$A$14:$A$213,0)),"ID unbekannt"))</f>
        <v/>
      </c>
      <c r="C804" s="63" t="n"/>
      <c r="D804" s="61" t="n"/>
      <c r="E804" s="60" t="n"/>
      <c r="F804" s="61" t="n"/>
    </row>
    <row r="805">
      <c r="A805" s="60" t="n"/>
      <c r="B805" s="65">
        <f>IF(A805="","",IFERROR(INDEX(Bestand!$B$14:$B$213,MATCH(A805,Bestand!$A$14:$A$213,0)),"ID unbekannt"))</f>
        <v/>
      </c>
      <c r="C805" s="63" t="n"/>
      <c r="D805" s="61" t="n"/>
      <c r="E805" s="60" t="n"/>
      <c r="F805" s="61" t="n"/>
    </row>
    <row r="806">
      <c r="A806" s="60" t="n"/>
      <c r="B806" s="65">
        <f>IF(A806="","",IFERROR(INDEX(Bestand!$B$14:$B$213,MATCH(A806,Bestand!$A$14:$A$213,0)),"ID unbekannt"))</f>
        <v/>
      </c>
      <c r="C806" s="63" t="n"/>
      <c r="D806" s="61" t="n"/>
      <c r="E806" s="60" t="n"/>
      <c r="F806" s="61" t="n"/>
    </row>
    <row r="807">
      <c r="A807" s="60" t="n"/>
      <c r="B807" s="65">
        <f>IF(A807="","",IFERROR(INDEX(Bestand!$B$14:$B$213,MATCH(A807,Bestand!$A$14:$A$213,0)),"ID unbekannt"))</f>
        <v/>
      </c>
      <c r="C807" s="63" t="n"/>
      <c r="D807" s="61" t="n"/>
      <c r="E807" s="60" t="n"/>
      <c r="F807" s="61" t="n"/>
    </row>
    <row r="808">
      <c r="A808" s="60" t="n"/>
      <c r="B808" s="65">
        <f>IF(A808="","",IFERROR(INDEX(Bestand!$B$14:$B$213,MATCH(A808,Bestand!$A$14:$A$213,0)),"ID unbekannt"))</f>
        <v/>
      </c>
      <c r="C808" s="63" t="n"/>
      <c r="D808" s="61" t="n"/>
      <c r="E808" s="60" t="n"/>
      <c r="F808" s="61" t="n"/>
    </row>
    <row r="809">
      <c r="A809" s="60" t="n"/>
      <c r="B809" s="65">
        <f>IF(A809="","",IFERROR(INDEX(Bestand!$B$14:$B$213,MATCH(A809,Bestand!$A$14:$A$213,0)),"ID unbekannt"))</f>
        <v/>
      </c>
      <c r="C809" s="63" t="n"/>
      <c r="D809" s="61" t="n"/>
      <c r="E809" s="60" t="n"/>
      <c r="F809" s="61" t="n"/>
    </row>
    <row r="810">
      <c r="A810" s="60" t="n"/>
      <c r="B810" s="65">
        <f>IF(A810="","",IFERROR(INDEX(Bestand!$B$14:$B$213,MATCH(A810,Bestand!$A$14:$A$213,0)),"ID unbekannt"))</f>
        <v/>
      </c>
      <c r="C810" s="63" t="n"/>
      <c r="D810" s="61" t="n"/>
      <c r="E810" s="60" t="n"/>
      <c r="F810" s="61" t="n"/>
    </row>
    <row r="811">
      <c r="A811" s="60" t="n"/>
      <c r="B811" s="65">
        <f>IF(A811="","",IFERROR(INDEX(Bestand!$B$14:$B$213,MATCH(A811,Bestand!$A$14:$A$213,0)),"ID unbekannt"))</f>
        <v/>
      </c>
      <c r="C811" s="63" t="n"/>
      <c r="D811" s="61" t="n"/>
      <c r="E811" s="60" t="n"/>
      <c r="F811" s="61" t="n"/>
    </row>
    <row r="812">
      <c r="A812" s="60" t="n"/>
      <c r="B812" s="65">
        <f>IF(A812="","",IFERROR(INDEX(Bestand!$B$14:$B$213,MATCH(A812,Bestand!$A$14:$A$213,0)),"ID unbekannt"))</f>
        <v/>
      </c>
      <c r="C812" s="63" t="n"/>
      <c r="D812" s="61" t="n"/>
      <c r="E812" s="60" t="n"/>
      <c r="F812" s="61" t="n"/>
    </row>
    <row r="813">
      <c r="A813" s="60" t="n"/>
      <c r="B813" s="65">
        <f>IF(A813="","",IFERROR(INDEX(Bestand!$B$14:$B$213,MATCH(A813,Bestand!$A$14:$A$213,0)),"ID unbekannt"))</f>
        <v/>
      </c>
      <c r="C813" s="63" t="n"/>
      <c r="D813" s="61" t="n"/>
      <c r="E813" s="60" t="n"/>
      <c r="F813" s="61" t="n"/>
    </row>
    <row r="814">
      <c r="A814" s="60" t="n"/>
      <c r="B814" s="65">
        <f>IF(A814="","",IFERROR(INDEX(Bestand!$B$14:$B$213,MATCH(A814,Bestand!$A$14:$A$213,0)),"ID unbekannt"))</f>
        <v/>
      </c>
      <c r="C814" s="63" t="n"/>
      <c r="D814" s="61" t="n"/>
      <c r="E814" s="60" t="n"/>
      <c r="F814" s="61" t="n"/>
    </row>
    <row r="815">
      <c r="A815" s="60" t="n"/>
      <c r="B815" s="65">
        <f>IF(A815="","",IFERROR(INDEX(Bestand!$B$14:$B$213,MATCH(A815,Bestand!$A$14:$A$213,0)),"ID unbekannt"))</f>
        <v/>
      </c>
      <c r="C815" s="63" t="n"/>
      <c r="D815" s="61" t="n"/>
      <c r="E815" s="60" t="n"/>
      <c r="F815" s="61" t="n"/>
    </row>
    <row r="816">
      <c r="A816" s="60" t="n"/>
      <c r="B816" s="65">
        <f>IF(A816="","",IFERROR(INDEX(Bestand!$B$14:$B$213,MATCH(A816,Bestand!$A$14:$A$213,0)),"ID unbekannt"))</f>
        <v/>
      </c>
      <c r="C816" s="63" t="n"/>
      <c r="D816" s="61" t="n"/>
      <c r="E816" s="60" t="n"/>
      <c r="F816" s="61" t="n"/>
    </row>
    <row r="817">
      <c r="A817" s="60" t="n"/>
      <c r="B817" s="65">
        <f>IF(A817="","",IFERROR(INDEX(Bestand!$B$14:$B$213,MATCH(A817,Bestand!$A$14:$A$213,0)),"ID unbekannt"))</f>
        <v/>
      </c>
      <c r="C817" s="63" t="n"/>
      <c r="D817" s="61" t="n"/>
      <c r="E817" s="60" t="n"/>
      <c r="F817" s="61" t="n"/>
    </row>
    <row r="818">
      <c r="A818" s="60" t="n"/>
      <c r="B818" s="65">
        <f>IF(A818="","",IFERROR(INDEX(Bestand!$B$14:$B$213,MATCH(A818,Bestand!$A$14:$A$213,0)),"ID unbekannt"))</f>
        <v/>
      </c>
      <c r="C818" s="63" t="n"/>
      <c r="D818" s="61" t="n"/>
      <c r="E818" s="60" t="n"/>
      <c r="F818" s="61" t="n"/>
    </row>
    <row r="819">
      <c r="A819" s="60" t="n"/>
      <c r="B819" s="65">
        <f>IF(A819="","",IFERROR(INDEX(Bestand!$B$14:$B$213,MATCH(A819,Bestand!$A$14:$A$213,0)),"ID unbekannt"))</f>
        <v/>
      </c>
      <c r="C819" s="63" t="n"/>
      <c r="D819" s="61" t="n"/>
      <c r="E819" s="60" t="n"/>
      <c r="F819" s="61" t="n"/>
    </row>
    <row r="820">
      <c r="A820" s="60" t="n"/>
      <c r="B820" s="65">
        <f>IF(A820="","",IFERROR(INDEX(Bestand!$B$14:$B$213,MATCH(A820,Bestand!$A$14:$A$213,0)),"ID unbekannt"))</f>
        <v/>
      </c>
      <c r="C820" s="63" t="n"/>
      <c r="D820" s="61" t="n"/>
      <c r="E820" s="60" t="n"/>
      <c r="F820" s="61" t="n"/>
    </row>
    <row r="821">
      <c r="A821" s="60" t="n"/>
      <c r="B821" s="65">
        <f>IF(A821="","",IFERROR(INDEX(Bestand!$B$14:$B$213,MATCH(A821,Bestand!$A$14:$A$213,0)),"ID unbekannt"))</f>
        <v/>
      </c>
      <c r="C821" s="63" t="n"/>
      <c r="D821" s="61" t="n"/>
      <c r="E821" s="60" t="n"/>
      <c r="F821" s="61" t="n"/>
    </row>
    <row r="822">
      <c r="A822" s="60" t="n"/>
      <c r="B822" s="65">
        <f>IF(A822="","",IFERROR(INDEX(Bestand!$B$14:$B$213,MATCH(A822,Bestand!$A$14:$A$213,0)),"ID unbekannt"))</f>
        <v/>
      </c>
      <c r="C822" s="63" t="n"/>
      <c r="D822" s="61" t="n"/>
      <c r="E822" s="60" t="n"/>
      <c r="F822" s="61" t="n"/>
    </row>
    <row r="823">
      <c r="A823" s="60" t="n"/>
      <c r="B823" s="65">
        <f>IF(A823="","",IFERROR(INDEX(Bestand!$B$14:$B$213,MATCH(A823,Bestand!$A$14:$A$213,0)),"ID unbekannt"))</f>
        <v/>
      </c>
      <c r="C823" s="63" t="n"/>
      <c r="D823" s="61" t="n"/>
      <c r="E823" s="60" t="n"/>
      <c r="F823" s="61" t="n"/>
    </row>
    <row r="824">
      <c r="A824" s="60" t="n"/>
      <c r="B824" s="65">
        <f>IF(A824="","",IFERROR(INDEX(Bestand!$B$14:$B$213,MATCH(A824,Bestand!$A$14:$A$213,0)),"ID unbekannt"))</f>
        <v/>
      </c>
      <c r="C824" s="63" t="n"/>
      <c r="D824" s="61" t="n"/>
      <c r="E824" s="60" t="n"/>
      <c r="F824" s="61" t="n"/>
    </row>
    <row r="825">
      <c r="A825" s="60" t="n"/>
      <c r="B825" s="65">
        <f>IF(A825="","",IFERROR(INDEX(Bestand!$B$14:$B$213,MATCH(A825,Bestand!$A$14:$A$213,0)),"ID unbekannt"))</f>
        <v/>
      </c>
      <c r="C825" s="63" t="n"/>
      <c r="D825" s="61" t="n"/>
      <c r="E825" s="60" t="n"/>
      <c r="F825" s="61" t="n"/>
    </row>
    <row r="826">
      <c r="A826" s="60" t="n"/>
      <c r="B826" s="65">
        <f>IF(A826="","",IFERROR(INDEX(Bestand!$B$14:$B$213,MATCH(A826,Bestand!$A$14:$A$213,0)),"ID unbekannt"))</f>
        <v/>
      </c>
      <c r="C826" s="63" t="n"/>
      <c r="D826" s="61" t="n"/>
      <c r="E826" s="60" t="n"/>
      <c r="F826" s="61" t="n"/>
    </row>
    <row r="827">
      <c r="A827" s="60" t="n"/>
      <c r="B827" s="65">
        <f>IF(A827="","",IFERROR(INDEX(Bestand!$B$14:$B$213,MATCH(A827,Bestand!$A$14:$A$213,0)),"ID unbekannt"))</f>
        <v/>
      </c>
      <c r="C827" s="63" t="n"/>
      <c r="D827" s="61" t="n"/>
      <c r="E827" s="60" t="n"/>
      <c r="F827" s="61" t="n"/>
    </row>
    <row r="828">
      <c r="A828" s="60" t="n"/>
      <c r="B828" s="65">
        <f>IF(A828="","",IFERROR(INDEX(Bestand!$B$14:$B$213,MATCH(A828,Bestand!$A$14:$A$213,0)),"ID unbekannt"))</f>
        <v/>
      </c>
      <c r="C828" s="63" t="n"/>
      <c r="D828" s="61" t="n"/>
      <c r="E828" s="60" t="n"/>
      <c r="F828" s="61" t="n"/>
    </row>
    <row r="829">
      <c r="A829" s="60" t="n"/>
      <c r="B829" s="65">
        <f>IF(A829="","",IFERROR(INDEX(Bestand!$B$14:$B$213,MATCH(A829,Bestand!$A$14:$A$213,0)),"ID unbekannt"))</f>
        <v/>
      </c>
      <c r="C829" s="63" t="n"/>
      <c r="D829" s="61" t="n"/>
      <c r="E829" s="60" t="n"/>
      <c r="F829" s="61" t="n"/>
    </row>
    <row r="830">
      <c r="A830" s="60" t="n"/>
      <c r="B830" s="65">
        <f>IF(A830="","",IFERROR(INDEX(Bestand!$B$14:$B$213,MATCH(A830,Bestand!$A$14:$A$213,0)),"ID unbekannt"))</f>
        <v/>
      </c>
      <c r="C830" s="63" t="n"/>
      <c r="D830" s="61" t="n"/>
      <c r="E830" s="60" t="n"/>
      <c r="F830" s="61" t="n"/>
    </row>
    <row r="831">
      <c r="A831" s="60" t="n"/>
      <c r="B831" s="65">
        <f>IF(A831="","",IFERROR(INDEX(Bestand!$B$14:$B$213,MATCH(A831,Bestand!$A$14:$A$213,0)),"ID unbekannt"))</f>
        <v/>
      </c>
      <c r="C831" s="63" t="n"/>
      <c r="D831" s="61" t="n"/>
      <c r="E831" s="60" t="n"/>
      <c r="F831" s="61" t="n"/>
    </row>
    <row r="832">
      <c r="A832" s="60" t="n"/>
      <c r="B832" s="65">
        <f>IF(A832="","",IFERROR(INDEX(Bestand!$B$14:$B$213,MATCH(A832,Bestand!$A$14:$A$213,0)),"ID unbekannt"))</f>
        <v/>
      </c>
      <c r="C832" s="63" t="n"/>
      <c r="D832" s="61" t="n"/>
      <c r="E832" s="60" t="n"/>
      <c r="F832" s="61" t="n"/>
    </row>
    <row r="833">
      <c r="A833" s="60" t="n"/>
      <c r="B833" s="65">
        <f>IF(A833="","",IFERROR(INDEX(Bestand!$B$14:$B$213,MATCH(A833,Bestand!$A$14:$A$213,0)),"ID unbekannt"))</f>
        <v/>
      </c>
      <c r="C833" s="63" t="n"/>
      <c r="D833" s="61" t="n"/>
      <c r="E833" s="60" t="n"/>
      <c r="F833" s="61" t="n"/>
    </row>
    <row r="834">
      <c r="A834" s="60" t="n"/>
      <c r="B834" s="65">
        <f>IF(A834="","",IFERROR(INDEX(Bestand!$B$14:$B$213,MATCH(A834,Bestand!$A$14:$A$213,0)),"ID unbekannt"))</f>
        <v/>
      </c>
      <c r="C834" s="63" t="n"/>
      <c r="D834" s="61" t="n"/>
      <c r="E834" s="60" t="n"/>
      <c r="F834" s="61" t="n"/>
    </row>
    <row r="835">
      <c r="A835" s="60" t="n"/>
      <c r="B835" s="65">
        <f>IF(A835="","",IFERROR(INDEX(Bestand!$B$14:$B$213,MATCH(A835,Bestand!$A$14:$A$213,0)),"ID unbekannt"))</f>
        <v/>
      </c>
      <c r="C835" s="63" t="n"/>
      <c r="D835" s="61" t="n"/>
      <c r="E835" s="60" t="n"/>
      <c r="F835" s="61" t="n"/>
    </row>
    <row r="836">
      <c r="A836" s="60" t="n"/>
      <c r="B836" s="65">
        <f>IF(A836="","",IFERROR(INDEX(Bestand!$B$14:$B$213,MATCH(A836,Bestand!$A$14:$A$213,0)),"ID unbekannt"))</f>
        <v/>
      </c>
      <c r="C836" s="63" t="n"/>
      <c r="D836" s="61" t="n"/>
      <c r="E836" s="60" t="n"/>
      <c r="F836" s="61" t="n"/>
    </row>
    <row r="837">
      <c r="A837" s="60" t="n"/>
      <c r="B837" s="65">
        <f>IF(A837="","",IFERROR(INDEX(Bestand!$B$14:$B$213,MATCH(A837,Bestand!$A$14:$A$213,0)),"ID unbekannt"))</f>
        <v/>
      </c>
      <c r="C837" s="63" t="n"/>
      <c r="D837" s="61" t="n"/>
      <c r="E837" s="60" t="n"/>
      <c r="F837" s="61" t="n"/>
    </row>
    <row r="838">
      <c r="A838" s="60" t="n"/>
      <c r="B838" s="65">
        <f>IF(A838="","",IFERROR(INDEX(Bestand!$B$14:$B$213,MATCH(A838,Bestand!$A$14:$A$213,0)),"ID unbekannt"))</f>
        <v/>
      </c>
      <c r="C838" s="63" t="n"/>
      <c r="D838" s="61" t="n"/>
      <c r="E838" s="60" t="n"/>
      <c r="F838" s="61" t="n"/>
    </row>
    <row r="839">
      <c r="A839" s="60" t="n"/>
      <c r="B839" s="65">
        <f>IF(A839="","",IFERROR(INDEX(Bestand!$B$14:$B$213,MATCH(A839,Bestand!$A$14:$A$213,0)),"ID unbekannt"))</f>
        <v/>
      </c>
      <c r="C839" s="63" t="n"/>
      <c r="D839" s="61" t="n"/>
      <c r="E839" s="60" t="n"/>
      <c r="F839" s="61" t="n"/>
    </row>
    <row r="840">
      <c r="A840" s="60" t="n"/>
      <c r="B840" s="65">
        <f>IF(A840="","",IFERROR(INDEX(Bestand!$B$14:$B$213,MATCH(A840,Bestand!$A$14:$A$213,0)),"ID unbekannt"))</f>
        <v/>
      </c>
      <c r="C840" s="63" t="n"/>
      <c r="D840" s="61" t="n"/>
      <c r="E840" s="60" t="n"/>
      <c r="F840" s="61" t="n"/>
    </row>
    <row r="841">
      <c r="A841" s="60" t="n"/>
      <c r="B841" s="65">
        <f>IF(A841="","",IFERROR(INDEX(Bestand!$B$14:$B$213,MATCH(A841,Bestand!$A$14:$A$213,0)),"ID unbekannt"))</f>
        <v/>
      </c>
      <c r="C841" s="63" t="n"/>
      <c r="D841" s="61" t="n"/>
      <c r="E841" s="60" t="n"/>
      <c r="F841" s="61" t="n"/>
    </row>
    <row r="842">
      <c r="A842" s="60" t="n"/>
      <c r="B842" s="65">
        <f>IF(A842="","",IFERROR(INDEX(Bestand!$B$14:$B$213,MATCH(A842,Bestand!$A$14:$A$213,0)),"ID unbekannt"))</f>
        <v/>
      </c>
      <c r="C842" s="63" t="n"/>
      <c r="D842" s="61" t="n"/>
      <c r="E842" s="60" t="n"/>
      <c r="F842" s="61" t="n"/>
    </row>
    <row r="843">
      <c r="A843" s="60" t="n"/>
      <c r="B843" s="65">
        <f>IF(A843="","",IFERROR(INDEX(Bestand!$B$14:$B$213,MATCH(A843,Bestand!$A$14:$A$213,0)),"ID unbekannt"))</f>
        <v/>
      </c>
      <c r="C843" s="63" t="n"/>
      <c r="D843" s="61" t="n"/>
      <c r="E843" s="60" t="n"/>
      <c r="F843" s="61" t="n"/>
    </row>
    <row r="844">
      <c r="A844" s="60" t="n"/>
      <c r="B844" s="65">
        <f>IF(A844="","",IFERROR(INDEX(Bestand!$B$14:$B$213,MATCH(A844,Bestand!$A$14:$A$213,0)),"ID unbekannt"))</f>
        <v/>
      </c>
      <c r="C844" s="63" t="n"/>
      <c r="D844" s="61" t="n"/>
      <c r="E844" s="60" t="n"/>
      <c r="F844" s="61" t="n"/>
    </row>
    <row r="845">
      <c r="A845" s="60" t="n"/>
      <c r="B845" s="65">
        <f>IF(A845="","",IFERROR(INDEX(Bestand!$B$14:$B$213,MATCH(A845,Bestand!$A$14:$A$213,0)),"ID unbekannt"))</f>
        <v/>
      </c>
      <c r="C845" s="63" t="n"/>
      <c r="D845" s="61" t="n"/>
      <c r="E845" s="60" t="n"/>
      <c r="F845" s="61" t="n"/>
    </row>
    <row r="846">
      <c r="A846" s="60" t="n"/>
      <c r="B846" s="65">
        <f>IF(A846="","",IFERROR(INDEX(Bestand!$B$14:$B$213,MATCH(A846,Bestand!$A$14:$A$213,0)),"ID unbekannt"))</f>
        <v/>
      </c>
      <c r="C846" s="63" t="n"/>
      <c r="D846" s="61" t="n"/>
      <c r="E846" s="60" t="n"/>
      <c r="F846" s="61" t="n"/>
    </row>
    <row r="847">
      <c r="A847" s="60" t="n"/>
      <c r="B847" s="65">
        <f>IF(A847="","",IFERROR(INDEX(Bestand!$B$14:$B$213,MATCH(A847,Bestand!$A$14:$A$213,0)),"ID unbekannt"))</f>
        <v/>
      </c>
      <c r="C847" s="63" t="n"/>
      <c r="D847" s="61" t="n"/>
      <c r="E847" s="60" t="n"/>
      <c r="F847" s="61" t="n"/>
    </row>
    <row r="848">
      <c r="A848" s="60" t="n"/>
      <c r="B848" s="65">
        <f>IF(A848="","",IFERROR(INDEX(Bestand!$B$14:$B$213,MATCH(A848,Bestand!$A$14:$A$213,0)),"ID unbekannt"))</f>
        <v/>
      </c>
      <c r="C848" s="63" t="n"/>
      <c r="D848" s="61" t="n"/>
      <c r="E848" s="60" t="n"/>
      <c r="F848" s="61" t="n"/>
    </row>
    <row r="849">
      <c r="A849" s="60" t="n"/>
      <c r="B849" s="65">
        <f>IF(A849="","",IFERROR(INDEX(Bestand!$B$14:$B$213,MATCH(A849,Bestand!$A$14:$A$213,0)),"ID unbekannt"))</f>
        <v/>
      </c>
      <c r="C849" s="63" t="n"/>
      <c r="D849" s="61" t="n"/>
      <c r="E849" s="60" t="n"/>
      <c r="F849" s="61" t="n"/>
    </row>
    <row r="850">
      <c r="A850" s="60" t="n"/>
      <c r="B850" s="65">
        <f>IF(A850="","",IFERROR(INDEX(Bestand!$B$14:$B$213,MATCH(A850,Bestand!$A$14:$A$213,0)),"ID unbekannt"))</f>
        <v/>
      </c>
      <c r="C850" s="63" t="n"/>
      <c r="D850" s="61" t="n"/>
      <c r="E850" s="60" t="n"/>
      <c r="F850" s="61" t="n"/>
    </row>
    <row r="851">
      <c r="A851" s="60" t="n"/>
      <c r="B851" s="65">
        <f>IF(A851="","",IFERROR(INDEX(Bestand!$B$14:$B$213,MATCH(A851,Bestand!$A$14:$A$213,0)),"ID unbekannt"))</f>
        <v/>
      </c>
      <c r="C851" s="63" t="n"/>
      <c r="D851" s="61" t="n"/>
      <c r="E851" s="60" t="n"/>
      <c r="F851" s="61" t="n"/>
    </row>
    <row r="852">
      <c r="A852" s="60" t="n"/>
      <c r="B852" s="65">
        <f>IF(A852="","",IFERROR(INDEX(Bestand!$B$14:$B$213,MATCH(A852,Bestand!$A$14:$A$213,0)),"ID unbekannt"))</f>
        <v/>
      </c>
      <c r="C852" s="63" t="n"/>
      <c r="D852" s="61" t="n"/>
      <c r="E852" s="60" t="n"/>
      <c r="F852" s="61" t="n"/>
    </row>
    <row r="853">
      <c r="A853" s="60" t="n"/>
      <c r="B853" s="65">
        <f>IF(A853="","",IFERROR(INDEX(Bestand!$B$14:$B$213,MATCH(A853,Bestand!$A$14:$A$213,0)),"ID unbekannt"))</f>
        <v/>
      </c>
      <c r="C853" s="63" t="n"/>
      <c r="D853" s="61" t="n"/>
      <c r="E853" s="60" t="n"/>
      <c r="F853" s="61" t="n"/>
    </row>
    <row r="854">
      <c r="A854" s="60" t="n"/>
      <c r="B854" s="65">
        <f>IF(A854="","",IFERROR(INDEX(Bestand!$B$14:$B$213,MATCH(A854,Bestand!$A$14:$A$213,0)),"ID unbekannt"))</f>
        <v/>
      </c>
      <c r="C854" s="63" t="n"/>
      <c r="D854" s="61" t="n"/>
      <c r="E854" s="60" t="n"/>
      <c r="F854" s="61" t="n"/>
    </row>
    <row r="855">
      <c r="A855" s="60" t="n"/>
      <c r="B855" s="65">
        <f>IF(A855="","",IFERROR(INDEX(Bestand!$B$14:$B$213,MATCH(A855,Bestand!$A$14:$A$213,0)),"ID unbekannt"))</f>
        <v/>
      </c>
      <c r="C855" s="63" t="n"/>
      <c r="D855" s="61" t="n"/>
      <c r="E855" s="60" t="n"/>
      <c r="F855" s="61" t="n"/>
    </row>
    <row r="856">
      <c r="A856" s="60" t="n"/>
      <c r="B856" s="65">
        <f>IF(A856="","",IFERROR(INDEX(Bestand!$B$14:$B$213,MATCH(A856,Bestand!$A$14:$A$213,0)),"ID unbekannt"))</f>
        <v/>
      </c>
      <c r="C856" s="63" t="n"/>
      <c r="D856" s="61" t="n"/>
      <c r="E856" s="60" t="n"/>
      <c r="F856" s="61" t="n"/>
    </row>
    <row r="857">
      <c r="A857" s="60" t="n"/>
      <c r="B857" s="65">
        <f>IF(A857="","",IFERROR(INDEX(Bestand!$B$14:$B$213,MATCH(A857,Bestand!$A$14:$A$213,0)),"ID unbekannt"))</f>
        <v/>
      </c>
      <c r="C857" s="63" t="n"/>
      <c r="D857" s="61" t="n"/>
      <c r="E857" s="60" t="n"/>
      <c r="F857" s="61" t="n"/>
    </row>
    <row r="858">
      <c r="A858" s="60" t="n"/>
      <c r="B858" s="65">
        <f>IF(A858="","",IFERROR(INDEX(Bestand!$B$14:$B$213,MATCH(A858,Bestand!$A$14:$A$213,0)),"ID unbekannt"))</f>
        <v/>
      </c>
      <c r="C858" s="63" t="n"/>
      <c r="D858" s="61" t="n"/>
      <c r="E858" s="60" t="n"/>
      <c r="F858" s="61" t="n"/>
    </row>
    <row r="859">
      <c r="A859" s="60" t="n"/>
      <c r="B859" s="65">
        <f>IF(A859="","",IFERROR(INDEX(Bestand!$B$14:$B$213,MATCH(A859,Bestand!$A$14:$A$213,0)),"ID unbekannt"))</f>
        <v/>
      </c>
      <c r="C859" s="63" t="n"/>
      <c r="D859" s="61" t="n"/>
      <c r="E859" s="60" t="n"/>
      <c r="F859" s="61" t="n"/>
    </row>
    <row r="860">
      <c r="A860" s="60" t="n"/>
      <c r="B860" s="65">
        <f>IF(A860="","",IFERROR(INDEX(Bestand!$B$14:$B$213,MATCH(A860,Bestand!$A$14:$A$213,0)),"ID unbekannt"))</f>
        <v/>
      </c>
      <c r="C860" s="63" t="n"/>
      <c r="D860" s="61" t="n"/>
      <c r="E860" s="60" t="n"/>
      <c r="F860" s="61" t="n"/>
    </row>
    <row r="861">
      <c r="A861" s="60" t="n"/>
      <c r="B861" s="65">
        <f>IF(A861="","",IFERROR(INDEX(Bestand!$B$14:$B$213,MATCH(A861,Bestand!$A$14:$A$213,0)),"ID unbekannt"))</f>
        <v/>
      </c>
      <c r="C861" s="63" t="n"/>
      <c r="D861" s="61" t="n"/>
      <c r="E861" s="60" t="n"/>
      <c r="F861" s="61" t="n"/>
    </row>
    <row r="862">
      <c r="A862" s="60" t="n"/>
      <c r="B862" s="65">
        <f>IF(A862="","",IFERROR(INDEX(Bestand!$B$14:$B$213,MATCH(A862,Bestand!$A$14:$A$213,0)),"ID unbekannt"))</f>
        <v/>
      </c>
      <c r="C862" s="63" t="n"/>
      <c r="D862" s="61" t="n"/>
      <c r="E862" s="60" t="n"/>
      <c r="F862" s="61" t="n"/>
    </row>
    <row r="863">
      <c r="A863" s="60" t="n"/>
      <c r="B863" s="65">
        <f>IF(A863="","",IFERROR(INDEX(Bestand!$B$14:$B$213,MATCH(A863,Bestand!$A$14:$A$213,0)),"ID unbekannt"))</f>
        <v/>
      </c>
      <c r="C863" s="63" t="n"/>
      <c r="D863" s="61" t="n"/>
      <c r="E863" s="60" t="n"/>
      <c r="F863" s="61" t="n"/>
    </row>
    <row r="864">
      <c r="A864" s="60" t="n"/>
      <c r="B864" s="65">
        <f>IF(A864="","",IFERROR(INDEX(Bestand!$B$14:$B$213,MATCH(A864,Bestand!$A$14:$A$213,0)),"ID unbekannt"))</f>
        <v/>
      </c>
      <c r="C864" s="63" t="n"/>
      <c r="D864" s="61" t="n"/>
      <c r="E864" s="60" t="n"/>
      <c r="F864" s="61" t="n"/>
    </row>
    <row r="865">
      <c r="A865" s="60" t="n"/>
      <c r="B865" s="65">
        <f>IF(A865="","",IFERROR(INDEX(Bestand!$B$14:$B$213,MATCH(A865,Bestand!$A$14:$A$213,0)),"ID unbekannt"))</f>
        <v/>
      </c>
      <c r="C865" s="63" t="n"/>
      <c r="D865" s="61" t="n"/>
      <c r="E865" s="60" t="n"/>
      <c r="F865" s="61" t="n"/>
    </row>
    <row r="866">
      <c r="A866" s="60" t="n"/>
      <c r="B866" s="65">
        <f>IF(A866="","",IFERROR(INDEX(Bestand!$B$14:$B$213,MATCH(A866,Bestand!$A$14:$A$213,0)),"ID unbekannt"))</f>
        <v/>
      </c>
      <c r="C866" s="63" t="n"/>
      <c r="D866" s="61" t="n"/>
      <c r="E866" s="60" t="n"/>
      <c r="F866" s="61" t="n"/>
    </row>
    <row r="867">
      <c r="A867" s="60" t="n"/>
      <c r="B867" s="65">
        <f>IF(A867="","",IFERROR(INDEX(Bestand!$B$14:$B$213,MATCH(A867,Bestand!$A$14:$A$213,0)),"ID unbekannt"))</f>
        <v/>
      </c>
      <c r="C867" s="63" t="n"/>
      <c r="D867" s="61" t="n"/>
      <c r="E867" s="60" t="n"/>
      <c r="F867" s="61" t="n"/>
    </row>
    <row r="868">
      <c r="A868" s="60" t="n"/>
      <c r="B868" s="65">
        <f>IF(A868="","",IFERROR(INDEX(Bestand!$B$14:$B$213,MATCH(A868,Bestand!$A$14:$A$213,0)),"ID unbekannt"))</f>
        <v/>
      </c>
      <c r="C868" s="63" t="n"/>
      <c r="D868" s="61" t="n"/>
      <c r="E868" s="60" t="n"/>
      <c r="F868" s="61" t="n"/>
    </row>
    <row r="869">
      <c r="A869" s="60" t="n"/>
      <c r="B869" s="65">
        <f>IF(A869="","",IFERROR(INDEX(Bestand!$B$14:$B$213,MATCH(A869,Bestand!$A$14:$A$213,0)),"ID unbekannt"))</f>
        <v/>
      </c>
      <c r="C869" s="63" t="n"/>
      <c r="D869" s="61" t="n"/>
      <c r="E869" s="60" t="n"/>
      <c r="F869" s="61" t="n"/>
    </row>
    <row r="870">
      <c r="A870" s="60" t="n"/>
      <c r="B870" s="65">
        <f>IF(A870="","",IFERROR(INDEX(Bestand!$B$14:$B$213,MATCH(A870,Bestand!$A$14:$A$213,0)),"ID unbekannt"))</f>
        <v/>
      </c>
      <c r="C870" s="63" t="n"/>
      <c r="D870" s="61" t="n"/>
      <c r="E870" s="60" t="n"/>
      <c r="F870" s="61" t="n"/>
    </row>
    <row r="871">
      <c r="A871" s="60" t="n"/>
      <c r="B871" s="65">
        <f>IF(A871="","",IFERROR(INDEX(Bestand!$B$14:$B$213,MATCH(A871,Bestand!$A$14:$A$213,0)),"ID unbekannt"))</f>
        <v/>
      </c>
      <c r="C871" s="63" t="n"/>
      <c r="D871" s="61" t="n"/>
      <c r="E871" s="60" t="n"/>
      <c r="F871" s="61" t="n"/>
    </row>
    <row r="872">
      <c r="A872" s="60" t="n"/>
      <c r="B872" s="65">
        <f>IF(A872="","",IFERROR(INDEX(Bestand!$B$14:$B$213,MATCH(A872,Bestand!$A$14:$A$213,0)),"ID unbekannt"))</f>
        <v/>
      </c>
      <c r="C872" s="63" t="n"/>
      <c r="D872" s="61" t="n"/>
      <c r="E872" s="60" t="n"/>
      <c r="F872" s="61" t="n"/>
    </row>
    <row r="873">
      <c r="A873" s="60" t="n"/>
      <c r="B873" s="65">
        <f>IF(A873="","",IFERROR(INDEX(Bestand!$B$14:$B$213,MATCH(A873,Bestand!$A$14:$A$213,0)),"ID unbekannt"))</f>
        <v/>
      </c>
      <c r="C873" s="63" t="n"/>
      <c r="D873" s="61" t="n"/>
      <c r="E873" s="60" t="n"/>
      <c r="F873" s="61" t="n"/>
    </row>
    <row r="874">
      <c r="A874" s="60" t="n"/>
      <c r="B874" s="65">
        <f>IF(A874="","",IFERROR(INDEX(Bestand!$B$14:$B$213,MATCH(A874,Bestand!$A$14:$A$213,0)),"ID unbekannt"))</f>
        <v/>
      </c>
      <c r="C874" s="63" t="n"/>
      <c r="D874" s="61" t="n"/>
      <c r="E874" s="60" t="n"/>
      <c r="F874" s="61" t="n"/>
    </row>
    <row r="875">
      <c r="A875" s="60" t="n"/>
      <c r="B875" s="65">
        <f>IF(A875="","",IFERROR(INDEX(Bestand!$B$14:$B$213,MATCH(A875,Bestand!$A$14:$A$213,0)),"ID unbekannt"))</f>
        <v/>
      </c>
      <c r="C875" s="63" t="n"/>
      <c r="D875" s="61" t="n"/>
      <c r="E875" s="60" t="n"/>
      <c r="F875" s="61" t="n"/>
    </row>
    <row r="876">
      <c r="A876" s="60" t="n"/>
      <c r="B876" s="65">
        <f>IF(A876="","",IFERROR(INDEX(Bestand!$B$14:$B$213,MATCH(A876,Bestand!$A$14:$A$213,0)),"ID unbekannt"))</f>
        <v/>
      </c>
      <c r="C876" s="63" t="n"/>
      <c r="D876" s="61" t="n"/>
      <c r="E876" s="60" t="n"/>
      <c r="F876" s="61" t="n"/>
    </row>
    <row r="877">
      <c r="A877" s="60" t="n"/>
      <c r="B877" s="65">
        <f>IF(A877="","",IFERROR(INDEX(Bestand!$B$14:$B$213,MATCH(A877,Bestand!$A$14:$A$213,0)),"ID unbekannt"))</f>
        <v/>
      </c>
      <c r="C877" s="63" t="n"/>
      <c r="D877" s="61" t="n"/>
      <c r="E877" s="60" t="n"/>
      <c r="F877" s="61" t="n"/>
    </row>
    <row r="878">
      <c r="A878" s="60" t="n"/>
      <c r="B878" s="65">
        <f>IF(A878="","",IFERROR(INDEX(Bestand!$B$14:$B$213,MATCH(A878,Bestand!$A$14:$A$213,0)),"ID unbekannt"))</f>
        <v/>
      </c>
      <c r="C878" s="63" t="n"/>
      <c r="D878" s="61" t="n"/>
      <c r="E878" s="60" t="n"/>
      <c r="F878" s="61" t="n"/>
    </row>
    <row r="879">
      <c r="A879" s="60" t="n"/>
      <c r="B879" s="65">
        <f>IF(A879="","",IFERROR(INDEX(Bestand!$B$14:$B$213,MATCH(A879,Bestand!$A$14:$A$213,0)),"ID unbekannt"))</f>
        <v/>
      </c>
      <c r="C879" s="63" t="n"/>
      <c r="D879" s="61" t="n"/>
      <c r="E879" s="60" t="n"/>
      <c r="F879" s="61" t="n"/>
    </row>
    <row r="880">
      <c r="A880" s="60" t="n"/>
      <c r="B880" s="65">
        <f>IF(A880="","",IFERROR(INDEX(Bestand!$B$14:$B$213,MATCH(A880,Bestand!$A$14:$A$213,0)),"ID unbekannt"))</f>
        <v/>
      </c>
      <c r="C880" s="63" t="n"/>
      <c r="D880" s="61" t="n"/>
      <c r="E880" s="60" t="n"/>
      <c r="F880" s="61" t="n"/>
    </row>
    <row r="881">
      <c r="A881" s="60" t="n"/>
      <c r="B881" s="65">
        <f>IF(A881="","",IFERROR(INDEX(Bestand!$B$14:$B$213,MATCH(A881,Bestand!$A$14:$A$213,0)),"ID unbekannt"))</f>
        <v/>
      </c>
      <c r="C881" s="63" t="n"/>
      <c r="D881" s="61" t="n"/>
      <c r="E881" s="60" t="n"/>
      <c r="F881" s="61" t="n"/>
    </row>
    <row r="882">
      <c r="A882" s="60" t="n"/>
      <c r="B882" s="65">
        <f>IF(A882="","",IFERROR(INDEX(Bestand!$B$14:$B$213,MATCH(A882,Bestand!$A$14:$A$213,0)),"ID unbekannt"))</f>
        <v/>
      </c>
      <c r="C882" s="63" t="n"/>
      <c r="D882" s="61" t="n"/>
      <c r="E882" s="60" t="n"/>
      <c r="F882" s="61" t="n"/>
    </row>
    <row r="883">
      <c r="A883" s="60" t="n"/>
      <c r="B883" s="65">
        <f>IF(A883="","",IFERROR(INDEX(Bestand!$B$14:$B$213,MATCH(A883,Bestand!$A$14:$A$213,0)),"ID unbekannt"))</f>
        <v/>
      </c>
      <c r="C883" s="63" t="n"/>
      <c r="D883" s="61" t="n"/>
      <c r="E883" s="60" t="n"/>
      <c r="F883" s="61" t="n"/>
    </row>
    <row r="884">
      <c r="A884" s="60" t="n"/>
      <c r="B884" s="65">
        <f>IF(A884="","",IFERROR(INDEX(Bestand!$B$14:$B$213,MATCH(A884,Bestand!$A$14:$A$213,0)),"ID unbekannt"))</f>
        <v/>
      </c>
      <c r="C884" s="63" t="n"/>
      <c r="D884" s="61" t="n"/>
      <c r="E884" s="60" t="n"/>
      <c r="F884" s="61" t="n"/>
    </row>
    <row r="885">
      <c r="A885" s="60" t="n"/>
      <c r="B885" s="65">
        <f>IF(A885="","",IFERROR(INDEX(Bestand!$B$14:$B$213,MATCH(A885,Bestand!$A$14:$A$213,0)),"ID unbekannt"))</f>
        <v/>
      </c>
      <c r="C885" s="63" t="n"/>
      <c r="D885" s="61" t="n"/>
      <c r="E885" s="60" t="n"/>
      <c r="F885" s="61" t="n"/>
    </row>
    <row r="886">
      <c r="A886" s="60" t="n"/>
      <c r="B886" s="65">
        <f>IF(A886="","",IFERROR(INDEX(Bestand!$B$14:$B$213,MATCH(A886,Bestand!$A$14:$A$213,0)),"ID unbekannt"))</f>
        <v/>
      </c>
      <c r="C886" s="63" t="n"/>
      <c r="D886" s="61" t="n"/>
      <c r="E886" s="60" t="n"/>
      <c r="F886" s="61" t="n"/>
    </row>
    <row r="887">
      <c r="A887" s="60" t="n"/>
      <c r="B887" s="65">
        <f>IF(A887="","",IFERROR(INDEX(Bestand!$B$14:$B$213,MATCH(A887,Bestand!$A$14:$A$213,0)),"ID unbekannt"))</f>
        <v/>
      </c>
      <c r="C887" s="63" t="n"/>
      <c r="D887" s="61" t="n"/>
      <c r="E887" s="60" t="n"/>
      <c r="F887" s="61" t="n"/>
    </row>
    <row r="888">
      <c r="A888" s="60" t="n"/>
      <c r="B888" s="65">
        <f>IF(A888="","",IFERROR(INDEX(Bestand!$B$14:$B$213,MATCH(A888,Bestand!$A$14:$A$213,0)),"ID unbekannt"))</f>
        <v/>
      </c>
      <c r="C888" s="63" t="n"/>
      <c r="D888" s="61" t="n"/>
      <c r="E888" s="60" t="n"/>
      <c r="F888" s="61" t="n"/>
    </row>
    <row r="889">
      <c r="A889" s="60" t="n"/>
      <c r="B889" s="65">
        <f>IF(A889="","",IFERROR(INDEX(Bestand!$B$14:$B$213,MATCH(A889,Bestand!$A$14:$A$213,0)),"ID unbekannt"))</f>
        <v/>
      </c>
      <c r="C889" s="63" t="n"/>
      <c r="D889" s="61" t="n"/>
      <c r="E889" s="60" t="n"/>
      <c r="F889" s="61" t="n"/>
    </row>
    <row r="890">
      <c r="A890" s="60" t="n"/>
      <c r="B890" s="65">
        <f>IF(A890="","",IFERROR(INDEX(Bestand!$B$14:$B$213,MATCH(A890,Bestand!$A$14:$A$213,0)),"ID unbekannt"))</f>
        <v/>
      </c>
      <c r="C890" s="63" t="n"/>
      <c r="D890" s="61" t="n"/>
      <c r="E890" s="60" t="n"/>
      <c r="F890" s="61" t="n"/>
    </row>
    <row r="891">
      <c r="A891" s="60" t="n"/>
      <c r="B891" s="65">
        <f>IF(A891="","",IFERROR(INDEX(Bestand!$B$14:$B$213,MATCH(A891,Bestand!$A$14:$A$213,0)),"ID unbekannt"))</f>
        <v/>
      </c>
      <c r="C891" s="63" t="n"/>
      <c r="D891" s="61" t="n"/>
      <c r="E891" s="60" t="n"/>
      <c r="F891" s="61" t="n"/>
    </row>
    <row r="892">
      <c r="A892" s="60" t="n"/>
      <c r="B892" s="65">
        <f>IF(A892="","",IFERROR(INDEX(Bestand!$B$14:$B$213,MATCH(A892,Bestand!$A$14:$A$213,0)),"ID unbekannt"))</f>
        <v/>
      </c>
      <c r="C892" s="63" t="n"/>
      <c r="D892" s="61" t="n"/>
      <c r="E892" s="60" t="n"/>
      <c r="F892" s="61" t="n"/>
    </row>
    <row r="893">
      <c r="A893" s="60" t="n"/>
      <c r="B893" s="65">
        <f>IF(A893="","",IFERROR(INDEX(Bestand!$B$14:$B$213,MATCH(A893,Bestand!$A$14:$A$213,0)),"ID unbekannt"))</f>
        <v/>
      </c>
      <c r="C893" s="63" t="n"/>
      <c r="D893" s="61" t="n"/>
      <c r="E893" s="60" t="n"/>
      <c r="F893" s="61" t="n"/>
    </row>
    <row r="894">
      <c r="A894" s="60" t="n"/>
      <c r="B894" s="65">
        <f>IF(A894="","",IFERROR(INDEX(Bestand!$B$14:$B$213,MATCH(A894,Bestand!$A$14:$A$213,0)),"ID unbekannt"))</f>
        <v/>
      </c>
      <c r="C894" s="63" t="n"/>
      <c r="D894" s="61" t="n"/>
      <c r="E894" s="60" t="n"/>
      <c r="F894" s="61" t="n"/>
    </row>
    <row r="895">
      <c r="A895" s="60" t="n"/>
      <c r="B895" s="65">
        <f>IF(A895="","",IFERROR(INDEX(Bestand!$B$14:$B$213,MATCH(A895,Bestand!$A$14:$A$213,0)),"ID unbekannt"))</f>
        <v/>
      </c>
      <c r="C895" s="63" t="n"/>
      <c r="D895" s="61" t="n"/>
      <c r="E895" s="60" t="n"/>
      <c r="F895" s="61" t="n"/>
    </row>
    <row r="896">
      <c r="A896" s="60" t="n"/>
      <c r="B896" s="65">
        <f>IF(A896="","",IFERROR(INDEX(Bestand!$B$14:$B$213,MATCH(A896,Bestand!$A$14:$A$213,0)),"ID unbekannt"))</f>
        <v/>
      </c>
      <c r="C896" s="63" t="n"/>
      <c r="D896" s="61" t="n"/>
      <c r="E896" s="60" t="n"/>
      <c r="F896" s="61" t="n"/>
    </row>
    <row r="897">
      <c r="A897" s="60" t="n"/>
      <c r="B897" s="65">
        <f>IF(A897="","",IFERROR(INDEX(Bestand!$B$14:$B$213,MATCH(A897,Bestand!$A$14:$A$213,0)),"ID unbekannt"))</f>
        <v/>
      </c>
      <c r="C897" s="63" t="n"/>
      <c r="D897" s="61" t="n"/>
      <c r="E897" s="60" t="n"/>
      <c r="F897" s="61" t="n"/>
    </row>
    <row r="898">
      <c r="A898" s="60" t="n"/>
      <c r="B898" s="65">
        <f>IF(A898="","",IFERROR(INDEX(Bestand!$B$14:$B$213,MATCH(A898,Bestand!$A$14:$A$213,0)),"ID unbekannt"))</f>
        <v/>
      </c>
      <c r="C898" s="63" t="n"/>
      <c r="D898" s="61" t="n"/>
      <c r="E898" s="60" t="n"/>
      <c r="F898" s="61" t="n"/>
    </row>
    <row r="899">
      <c r="A899" s="60" t="n"/>
      <c r="B899" s="65">
        <f>IF(A899="","",IFERROR(INDEX(Bestand!$B$14:$B$213,MATCH(A899,Bestand!$A$14:$A$213,0)),"ID unbekannt"))</f>
        <v/>
      </c>
      <c r="C899" s="63" t="n"/>
      <c r="D899" s="61" t="n"/>
      <c r="E899" s="60" t="n"/>
      <c r="F899" s="61" t="n"/>
    </row>
    <row r="900">
      <c r="A900" s="60" t="n"/>
      <c r="B900" s="65">
        <f>IF(A900="","",IFERROR(INDEX(Bestand!$B$14:$B$213,MATCH(A900,Bestand!$A$14:$A$213,0)),"ID unbekannt"))</f>
        <v/>
      </c>
      <c r="C900" s="63" t="n"/>
      <c r="D900" s="61" t="n"/>
      <c r="E900" s="60" t="n"/>
      <c r="F900" s="61" t="n"/>
    </row>
    <row r="901">
      <c r="A901" s="60" t="n"/>
      <c r="B901" s="65">
        <f>IF(A901="","",IFERROR(INDEX(Bestand!$B$14:$B$213,MATCH(A901,Bestand!$A$14:$A$213,0)),"ID unbekannt"))</f>
        <v/>
      </c>
      <c r="C901" s="63" t="n"/>
      <c r="D901" s="61" t="n"/>
      <c r="E901" s="60" t="n"/>
      <c r="F901" s="61" t="n"/>
    </row>
    <row r="902">
      <c r="A902" s="60" t="n"/>
      <c r="B902" s="65">
        <f>IF(A902="","",IFERROR(INDEX(Bestand!$B$14:$B$213,MATCH(A902,Bestand!$A$14:$A$213,0)),"ID unbekannt"))</f>
        <v/>
      </c>
      <c r="C902" s="63" t="n"/>
      <c r="D902" s="61" t="n"/>
      <c r="E902" s="60" t="n"/>
      <c r="F902" s="61" t="n"/>
    </row>
    <row r="903">
      <c r="A903" s="60" t="n"/>
      <c r="B903" s="65">
        <f>IF(A903="","",IFERROR(INDEX(Bestand!$B$14:$B$213,MATCH(A903,Bestand!$A$14:$A$213,0)),"ID unbekannt"))</f>
        <v/>
      </c>
      <c r="C903" s="63" t="n"/>
      <c r="D903" s="61" t="n"/>
      <c r="E903" s="60" t="n"/>
      <c r="F903" s="61" t="n"/>
    </row>
    <row r="904">
      <c r="A904" s="60" t="n"/>
      <c r="B904" s="65">
        <f>IF(A904="","",IFERROR(INDEX(Bestand!$B$14:$B$213,MATCH(A904,Bestand!$A$14:$A$213,0)),"ID unbekannt"))</f>
        <v/>
      </c>
      <c r="C904" s="63" t="n"/>
      <c r="D904" s="61" t="n"/>
      <c r="E904" s="60" t="n"/>
      <c r="F904" s="61" t="n"/>
    </row>
    <row r="905">
      <c r="A905" s="60" t="n"/>
      <c r="B905" s="65">
        <f>IF(A905="","",IFERROR(INDEX(Bestand!$B$14:$B$213,MATCH(A905,Bestand!$A$14:$A$213,0)),"ID unbekannt"))</f>
        <v/>
      </c>
      <c r="C905" s="63" t="n"/>
      <c r="D905" s="61" t="n"/>
      <c r="E905" s="60" t="n"/>
      <c r="F905" s="61" t="n"/>
    </row>
    <row r="906">
      <c r="A906" s="60" t="n"/>
      <c r="B906" s="65">
        <f>IF(A906="","",IFERROR(INDEX(Bestand!$B$14:$B$213,MATCH(A906,Bestand!$A$14:$A$213,0)),"ID unbekannt"))</f>
        <v/>
      </c>
      <c r="C906" s="63" t="n"/>
      <c r="D906" s="61" t="n"/>
      <c r="E906" s="60" t="n"/>
      <c r="F906" s="61" t="n"/>
    </row>
    <row r="907">
      <c r="A907" s="60" t="n"/>
      <c r="B907" s="65">
        <f>IF(A907="","",IFERROR(INDEX(Bestand!$B$14:$B$213,MATCH(A907,Bestand!$A$14:$A$213,0)),"ID unbekannt"))</f>
        <v/>
      </c>
      <c r="C907" s="63" t="n"/>
      <c r="D907" s="61" t="n"/>
      <c r="E907" s="60" t="n"/>
      <c r="F907" s="61" t="n"/>
    </row>
    <row r="908">
      <c r="A908" s="60" t="n"/>
      <c r="B908" s="65">
        <f>IF(A908="","",IFERROR(INDEX(Bestand!$B$14:$B$213,MATCH(A908,Bestand!$A$14:$A$213,0)),"ID unbekannt"))</f>
        <v/>
      </c>
      <c r="C908" s="63" t="n"/>
      <c r="D908" s="61" t="n"/>
      <c r="E908" s="60" t="n"/>
      <c r="F908" s="61" t="n"/>
    </row>
    <row r="909">
      <c r="A909" s="60" t="n"/>
      <c r="B909" s="65">
        <f>IF(A909="","",IFERROR(INDEX(Bestand!$B$14:$B$213,MATCH(A909,Bestand!$A$14:$A$213,0)),"ID unbekannt"))</f>
        <v/>
      </c>
      <c r="C909" s="63" t="n"/>
      <c r="D909" s="61" t="n"/>
      <c r="E909" s="60" t="n"/>
      <c r="F909" s="61" t="n"/>
    </row>
    <row r="910">
      <c r="A910" s="60" t="n"/>
      <c r="B910" s="65">
        <f>IF(A910="","",IFERROR(INDEX(Bestand!$B$14:$B$213,MATCH(A910,Bestand!$A$14:$A$213,0)),"ID unbekannt"))</f>
        <v/>
      </c>
      <c r="C910" s="63" t="n"/>
      <c r="D910" s="61" t="n"/>
      <c r="E910" s="60" t="n"/>
      <c r="F910" s="61" t="n"/>
    </row>
    <row r="911">
      <c r="A911" s="60" t="n"/>
      <c r="B911" s="65">
        <f>IF(A911="","",IFERROR(INDEX(Bestand!$B$14:$B$213,MATCH(A911,Bestand!$A$14:$A$213,0)),"ID unbekannt"))</f>
        <v/>
      </c>
      <c r="C911" s="63" t="n"/>
      <c r="D911" s="61" t="n"/>
      <c r="E911" s="60" t="n"/>
      <c r="F911" s="61" t="n"/>
    </row>
    <row r="912">
      <c r="A912" s="60" t="n"/>
      <c r="B912" s="65">
        <f>IF(A912="","",IFERROR(INDEX(Bestand!$B$14:$B$213,MATCH(A912,Bestand!$A$14:$A$213,0)),"ID unbekannt"))</f>
        <v/>
      </c>
      <c r="C912" s="63" t="n"/>
      <c r="D912" s="61" t="n"/>
      <c r="E912" s="60" t="n"/>
      <c r="F912" s="61" t="n"/>
    </row>
    <row r="913">
      <c r="A913" s="60" t="n"/>
      <c r="B913" s="65">
        <f>IF(A913="","",IFERROR(INDEX(Bestand!$B$14:$B$213,MATCH(A913,Bestand!$A$14:$A$213,0)),"ID unbekannt"))</f>
        <v/>
      </c>
      <c r="C913" s="63" t="n"/>
      <c r="D913" s="61" t="n"/>
      <c r="E913" s="60" t="n"/>
      <c r="F913" s="61" t="n"/>
    </row>
    <row r="914">
      <c r="A914" s="60" t="n"/>
      <c r="B914" s="65">
        <f>IF(A914="","",IFERROR(INDEX(Bestand!$B$14:$B$213,MATCH(A914,Bestand!$A$14:$A$213,0)),"ID unbekannt"))</f>
        <v/>
      </c>
      <c r="C914" s="63" t="n"/>
      <c r="D914" s="61" t="n"/>
      <c r="E914" s="60" t="n"/>
      <c r="F914" s="61" t="n"/>
    </row>
    <row r="915">
      <c r="A915" s="60" t="n"/>
      <c r="B915" s="65">
        <f>IF(A915="","",IFERROR(INDEX(Bestand!$B$14:$B$213,MATCH(A915,Bestand!$A$14:$A$213,0)),"ID unbekannt"))</f>
        <v/>
      </c>
      <c r="C915" s="63" t="n"/>
      <c r="D915" s="61" t="n"/>
      <c r="E915" s="60" t="n"/>
      <c r="F915" s="61" t="n"/>
    </row>
    <row r="916">
      <c r="A916" s="60" t="n"/>
      <c r="B916" s="65">
        <f>IF(A916="","",IFERROR(INDEX(Bestand!$B$14:$B$213,MATCH(A916,Bestand!$A$14:$A$213,0)),"ID unbekannt"))</f>
        <v/>
      </c>
      <c r="C916" s="63" t="n"/>
      <c r="D916" s="61" t="n"/>
      <c r="E916" s="60" t="n"/>
      <c r="F916" s="61" t="n"/>
    </row>
    <row r="917">
      <c r="A917" s="60" t="n"/>
      <c r="B917" s="65">
        <f>IF(A917="","",IFERROR(INDEX(Bestand!$B$14:$B$213,MATCH(A917,Bestand!$A$14:$A$213,0)),"ID unbekannt"))</f>
        <v/>
      </c>
      <c r="C917" s="63" t="n"/>
      <c r="D917" s="61" t="n"/>
      <c r="E917" s="60" t="n"/>
      <c r="F917" s="61" t="n"/>
    </row>
    <row r="918">
      <c r="A918" s="60" t="n"/>
      <c r="B918" s="65">
        <f>IF(A918="","",IFERROR(INDEX(Bestand!$B$14:$B$213,MATCH(A918,Bestand!$A$14:$A$213,0)),"ID unbekannt"))</f>
        <v/>
      </c>
      <c r="C918" s="63" t="n"/>
      <c r="D918" s="61" t="n"/>
      <c r="E918" s="60" t="n"/>
      <c r="F918" s="61" t="n"/>
    </row>
    <row r="919">
      <c r="A919" s="60" t="n"/>
      <c r="B919" s="65">
        <f>IF(A919="","",IFERROR(INDEX(Bestand!$B$14:$B$213,MATCH(A919,Bestand!$A$14:$A$213,0)),"ID unbekannt"))</f>
        <v/>
      </c>
      <c r="C919" s="63" t="n"/>
      <c r="D919" s="61" t="n"/>
      <c r="E919" s="60" t="n"/>
      <c r="F919" s="61" t="n"/>
    </row>
    <row r="920">
      <c r="A920" s="60" t="n"/>
      <c r="B920" s="65">
        <f>IF(A920="","",IFERROR(INDEX(Bestand!$B$14:$B$213,MATCH(A920,Bestand!$A$14:$A$213,0)),"ID unbekannt"))</f>
        <v/>
      </c>
      <c r="C920" s="63" t="n"/>
      <c r="D920" s="61" t="n"/>
      <c r="E920" s="60" t="n"/>
      <c r="F920" s="61" t="n"/>
    </row>
    <row r="921">
      <c r="A921" s="60" t="n"/>
      <c r="B921" s="65">
        <f>IF(A921="","",IFERROR(INDEX(Bestand!$B$14:$B$213,MATCH(A921,Bestand!$A$14:$A$213,0)),"ID unbekannt"))</f>
        <v/>
      </c>
      <c r="C921" s="63" t="n"/>
      <c r="D921" s="61" t="n"/>
      <c r="E921" s="60" t="n"/>
      <c r="F921" s="61" t="n"/>
    </row>
    <row r="922">
      <c r="A922" s="60" t="n"/>
      <c r="B922" s="65">
        <f>IF(A922="","",IFERROR(INDEX(Bestand!$B$14:$B$213,MATCH(A922,Bestand!$A$14:$A$213,0)),"ID unbekannt"))</f>
        <v/>
      </c>
      <c r="C922" s="63" t="n"/>
      <c r="D922" s="61" t="n"/>
      <c r="E922" s="60" t="n"/>
      <c r="F922" s="61" t="n"/>
    </row>
    <row r="923">
      <c r="A923" s="60" t="n"/>
      <c r="B923" s="65">
        <f>IF(A923="","",IFERROR(INDEX(Bestand!$B$14:$B$213,MATCH(A923,Bestand!$A$14:$A$213,0)),"ID unbekannt"))</f>
        <v/>
      </c>
      <c r="C923" s="63" t="n"/>
      <c r="D923" s="61" t="n"/>
      <c r="E923" s="60" t="n"/>
      <c r="F923" s="61" t="n"/>
    </row>
    <row r="924">
      <c r="A924" s="60" t="n"/>
      <c r="B924" s="65">
        <f>IF(A924="","",IFERROR(INDEX(Bestand!$B$14:$B$213,MATCH(A924,Bestand!$A$14:$A$213,0)),"ID unbekannt"))</f>
        <v/>
      </c>
      <c r="C924" s="63" t="n"/>
      <c r="D924" s="61" t="n"/>
      <c r="E924" s="60" t="n"/>
      <c r="F924" s="61" t="n"/>
    </row>
    <row r="925">
      <c r="A925" s="60" t="n"/>
      <c r="B925" s="65">
        <f>IF(A925="","",IFERROR(INDEX(Bestand!$B$14:$B$213,MATCH(A925,Bestand!$A$14:$A$213,0)),"ID unbekannt"))</f>
        <v/>
      </c>
      <c r="C925" s="63" t="n"/>
      <c r="D925" s="61" t="n"/>
      <c r="E925" s="60" t="n"/>
      <c r="F925" s="61" t="n"/>
    </row>
    <row r="926">
      <c r="A926" s="60" t="n"/>
      <c r="B926" s="65">
        <f>IF(A926="","",IFERROR(INDEX(Bestand!$B$14:$B$213,MATCH(A926,Bestand!$A$14:$A$213,0)),"ID unbekannt"))</f>
        <v/>
      </c>
      <c r="C926" s="63" t="n"/>
      <c r="D926" s="61" t="n"/>
      <c r="E926" s="60" t="n"/>
      <c r="F926" s="61" t="n"/>
    </row>
    <row r="927">
      <c r="A927" s="60" t="n"/>
      <c r="B927" s="65">
        <f>IF(A927="","",IFERROR(INDEX(Bestand!$B$14:$B$213,MATCH(A927,Bestand!$A$14:$A$213,0)),"ID unbekannt"))</f>
        <v/>
      </c>
      <c r="C927" s="63" t="n"/>
      <c r="D927" s="61" t="n"/>
      <c r="E927" s="60" t="n"/>
      <c r="F927" s="61" t="n"/>
    </row>
    <row r="928">
      <c r="A928" s="60" t="n"/>
      <c r="B928" s="65">
        <f>IF(A928="","",IFERROR(INDEX(Bestand!$B$14:$B$213,MATCH(A928,Bestand!$A$14:$A$213,0)),"ID unbekannt"))</f>
        <v/>
      </c>
      <c r="C928" s="63" t="n"/>
      <c r="D928" s="61" t="n"/>
      <c r="E928" s="60" t="n"/>
      <c r="F928" s="61" t="n"/>
    </row>
    <row r="929">
      <c r="A929" s="60" t="n"/>
      <c r="B929" s="65">
        <f>IF(A929="","",IFERROR(INDEX(Bestand!$B$14:$B$213,MATCH(A929,Bestand!$A$14:$A$213,0)),"ID unbekannt"))</f>
        <v/>
      </c>
      <c r="C929" s="63" t="n"/>
      <c r="D929" s="61" t="n"/>
      <c r="E929" s="60" t="n"/>
      <c r="F929" s="61" t="n"/>
    </row>
    <row r="930">
      <c r="A930" s="60" t="n"/>
      <c r="B930" s="65">
        <f>IF(A930="","",IFERROR(INDEX(Bestand!$B$14:$B$213,MATCH(A930,Bestand!$A$14:$A$213,0)),"ID unbekannt"))</f>
        <v/>
      </c>
      <c r="C930" s="63" t="n"/>
      <c r="D930" s="61" t="n"/>
      <c r="E930" s="60" t="n"/>
      <c r="F930" s="61" t="n"/>
    </row>
    <row r="931">
      <c r="A931" s="60" t="n"/>
      <c r="B931" s="65">
        <f>IF(A931="","",IFERROR(INDEX(Bestand!$B$14:$B$213,MATCH(A931,Bestand!$A$14:$A$213,0)),"ID unbekannt"))</f>
        <v/>
      </c>
      <c r="C931" s="63" t="n"/>
      <c r="D931" s="61" t="n"/>
      <c r="E931" s="60" t="n"/>
      <c r="F931" s="61" t="n"/>
    </row>
    <row r="932">
      <c r="A932" s="60" t="n"/>
      <c r="B932" s="65">
        <f>IF(A932="","",IFERROR(INDEX(Bestand!$B$14:$B$213,MATCH(A932,Bestand!$A$14:$A$213,0)),"ID unbekannt"))</f>
        <v/>
      </c>
      <c r="C932" s="63" t="n"/>
      <c r="D932" s="61" t="n"/>
      <c r="E932" s="60" t="n"/>
      <c r="F932" s="61" t="n"/>
    </row>
    <row r="933">
      <c r="A933" s="60" t="n"/>
      <c r="B933" s="65">
        <f>IF(A933="","",IFERROR(INDEX(Bestand!$B$14:$B$213,MATCH(A933,Bestand!$A$14:$A$213,0)),"ID unbekannt"))</f>
        <v/>
      </c>
      <c r="C933" s="63" t="n"/>
      <c r="D933" s="61" t="n"/>
      <c r="E933" s="60" t="n"/>
      <c r="F933" s="61" t="n"/>
    </row>
    <row r="934">
      <c r="A934" s="60" t="n"/>
      <c r="B934" s="65">
        <f>IF(A934="","",IFERROR(INDEX(Bestand!$B$14:$B$213,MATCH(A934,Bestand!$A$14:$A$213,0)),"ID unbekannt"))</f>
        <v/>
      </c>
      <c r="C934" s="63" t="n"/>
      <c r="D934" s="61" t="n"/>
      <c r="E934" s="60" t="n"/>
      <c r="F934" s="61" t="n"/>
    </row>
    <row r="935">
      <c r="A935" s="60" t="n"/>
      <c r="B935" s="65">
        <f>IF(A935="","",IFERROR(INDEX(Bestand!$B$14:$B$213,MATCH(A935,Bestand!$A$14:$A$213,0)),"ID unbekannt"))</f>
        <v/>
      </c>
      <c r="C935" s="63" t="n"/>
      <c r="D935" s="61" t="n"/>
      <c r="E935" s="60" t="n"/>
      <c r="F935" s="61" t="n"/>
    </row>
    <row r="936">
      <c r="A936" s="60" t="n"/>
      <c r="B936" s="65">
        <f>IF(A936="","",IFERROR(INDEX(Bestand!$B$14:$B$213,MATCH(A936,Bestand!$A$14:$A$213,0)),"ID unbekannt"))</f>
        <v/>
      </c>
      <c r="C936" s="63" t="n"/>
      <c r="D936" s="61" t="n"/>
      <c r="E936" s="60" t="n"/>
      <c r="F936" s="61" t="n"/>
    </row>
    <row r="937">
      <c r="A937" s="60" t="n"/>
      <c r="B937" s="65">
        <f>IF(A937="","",IFERROR(INDEX(Bestand!$B$14:$B$213,MATCH(A937,Bestand!$A$14:$A$213,0)),"ID unbekannt"))</f>
        <v/>
      </c>
      <c r="C937" s="63" t="n"/>
      <c r="D937" s="61" t="n"/>
      <c r="E937" s="60" t="n"/>
      <c r="F937" s="61" t="n"/>
    </row>
    <row r="938">
      <c r="A938" s="60" t="n"/>
      <c r="B938" s="65">
        <f>IF(A938="","",IFERROR(INDEX(Bestand!$B$14:$B$213,MATCH(A938,Bestand!$A$14:$A$213,0)),"ID unbekannt"))</f>
        <v/>
      </c>
      <c r="C938" s="63" t="n"/>
      <c r="D938" s="61" t="n"/>
      <c r="E938" s="60" t="n"/>
      <c r="F938" s="61" t="n"/>
    </row>
    <row r="939">
      <c r="A939" s="60" t="n"/>
      <c r="B939" s="65">
        <f>IF(A939="","",IFERROR(INDEX(Bestand!$B$14:$B$213,MATCH(A939,Bestand!$A$14:$A$213,0)),"ID unbekannt"))</f>
        <v/>
      </c>
      <c r="C939" s="63" t="n"/>
      <c r="D939" s="61" t="n"/>
      <c r="E939" s="60" t="n"/>
      <c r="F939" s="61" t="n"/>
    </row>
    <row r="940">
      <c r="A940" s="60" t="n"/>
      <c r="B940" s="65">
        <f>IF(A940="","",IFERROR(INDEX(Bestand!$B$14:$B$213,MATCH(A940,Bestand!$A$14:$A$213,0)),"ID unbekannt"))</f>
        <v/>
      </c>
      <c r="C940" s="63" t="n"/>
      <c r="D940" s="61" t="n"/>
      <c r="E940" s="60" t="n"/>
      <c r="F940" s="61" t="n"/>
    </row>
    <row r="941">
      <c r="A941" s="60" t="n"/>
      <c r="B941" s="65">
        <f>IF(A941="","",IFERROR(INDEX(Bestand!$B$14:$B$213,MATCH(A941,Bestand!$A$14:$A$213,0)),"ID unbekannt"))</f>
        <v/>
      </c>
      <c r="C941" s="63" t="n"/>
      <c r="D941" s="61" t="n"/>
      <c r="E941" s="60" t="n"/>
      <c r="F941" s="61" t="n"/>
    </row>
    <row r="942">
      <c r="A942" s="60" t="n"/>
      <c r="B942" s="65">
        <f>IF(A942="","",IFERROR(INDEX(Bestand!$B$14:$B$213,MATCH(A942,Bestand!$A$14:$A$213,0)),"ID unbekannt"))</f>
        <v/>
      </c>
      <c r="C942" s="63" t="n"/>
      <c r="D942" s="61" t="n"/>
      <c r="E942" s="60" t="n"/>
      <c r="F942" s="61" t="n"/>
    </row>
    <row r="943">
      <c r="A943" s="60" t="n"/>
      <c r="B943" s="65">
        <f>IF(A943="","",IFERROR(INDEX(Bestand!$B$14:$B$213,MATCH(A943,Bestand!$A$14:$A$213,0)),"ID unbekannt"))</f>
        <v/>
      </c>
      <c r="C943" s="63" t="n"/>
      <c r="D943" s="61" t="n"/>
      <c r="E943" s="60" t="n"/>
      <c r="F943" s="61" t="n"/>
    </row>
    <row r="944">
      <c r="A944" s="60" t="n"/>
      <c r="B944" s="65">
        <f>IF(A944="","",IFERROR(INDEX(Bestand!$B$14:$B$213,MATCH(A944,Bestand!$A$14:$A$213,0)),"ID unbekannt"))</f>
        <v/>
      </c>
      <c r="C944" s="63" t="n"/>
      <c r="D944" s="61" t="n"/>
      <c r="E944" s="60" t="n"/>
      <c r="F944" s="61" t="n"/>
    </row>
    <row r="945">
      <c r="A945" s="60" t="n"/>
      <c r="B945" s="65">
        <f>IF(A945="","",IFERROR(INDEX(Bestand!$B$14:$B$213,MATCH(A945,Bestand!$A$14:$A$213,0)),"ID unbekannt"))</f>
        <v/>
      </c>
      <c r="C945" s="63" t="n"/>
      <c r="D945" s="61" t="n"/>
      <c r="E945" s="60" t="n"/>
      <c r="F945" s="61" t="n"/>
    </row>
    <row r="946">
      <c r="A946" s="60" t="n"/>
      <c r="B946" s="65">
        <f>IF(A946="","",IFERROR(INDEX(Bestand!$B$14:$B$213,MATCH(A946,Bestand!$A$14:$A$213,0)),"ID unbekannt"))</f>
        <v/>
      </c>
      <c r="C946" s="63" t="n"/>
      <c r="D946" s="61" t="n"/>
      <c r="E946" s="60" t="n"/>
      <c r="F946" s="61" t="n"/>
    </row>
    <row r="947">
      <c r="A947" s="60" t="n"/>
      <c r="B947" s="65">
        <f>IF(A947="","",IFERROR(INDEX(Bestand!$B$14:$B$213,MATCH(A947,Bestand!$A$14:$A$213,0)),"ID unbekannt"))</f>
        <v/>
      </c>
      <c r="C947" s="63" t="n"/>
      <c r="D947" s="61" t="n"/>
      <c r="E947" s="60" t="n"/>
      <c r="F947" s="61" t="n"/>
    </row>
    <row r="948">
      <c r="A948" s="60" t="n"/>
      <c r="B948" s="65">
        <f>IF(A948="","",IFERROR(INDEX(Bestand!$B$14:$B$213,MATCH(A948,Bestand!$A$14:$A$213,0)),"ID unbekannt"))</f>
        <v/>
      </c>
      <c r="C948" s="63" t="n"/>
      <c r="D948" s="61" t="n"/>
      <c r="E948" s="60" t="n"/>
      <c r="F948" s="61" t="n"/>
    </row>
    <row r="949">
      <c r="A949" s="60" t="n"/>
      <c r="B949" s="65">
        <f>IF(A949="","",IFERROR(INDEX(Bestand!$B$14:$B$213,MATCH(A949,Bestand!$A$14:$A$213,0)),"ID unbekannt"))</f>
        <v/>
      </c>
      <c r="C949" s="63" t="n"/>
      <c r="D949" s="61" t="n"/>
      <c r="E949" s="60" t="n"/>
      <c r="F949" s="61" t="n"/>
    </row>
    <row r="950">
      <c r="A950" s="60" t="n"/>
      <c r="B950" s="65">
        <f>IF(A950="","",IFERROR(INDEX(Bestand!$B$14:$B$213,MATCH(A950,Bestand!$A$14:$A$213,0)),"ID unbekannt"))</f>
        <v/>
      </c>
      <c r="C950" s="63" t="n"/>
      <c r="D950" s="61" t="n"/>
      <c r="E950" s="60" t="n"/>
      <c r="F950" s="61" t="n"/>
    </row>
    <row r="951">
      <c r="A951" s="60" t="n"/>
      <c r="B951" s="65">
        <f>IF(A951="","",IFERROR(INDEX(Bestand!$B$14:$B$213,MATCH(A951,Bestand!$A$14:$A$213,0)),"ID unbekannt"))</f>
        <v/>
      </c>
      <c r="C951" s="63" t="n"/>
      <c r="D951" s="61" t="n"/>
      <c r="E951" s="60" t="n"/>
      <c r="F951" s="61" t="n"/>
    </row>
    <row r="952">
      <c r="A952" s="60" t="n"/>
      <c r="B952" s="65">
        <f>IF(A952="","",IFERROR(INDEX(Bestand!$B$14:$B$213,MATCH(A952,Bestand!$A$14:$A$213,0)),"ID unbekannt"))</f>
        <v/>
      </c>
      <c r="C952" s="63" t="n"/>
      <c r="D952" s="61" t="n"/>
      <c r="E952" s="60" t="n"/>
      <c r="F952" s="61" t="n"/>
    </row>
    <row r="953">
      <c r="A953" s="60" t="n"/>
      <c r="B953" s="65">
        <f>IF(A953="","",IFERROR(INDEX(Bestand!$B$14:$B$213,MATCH(A953,Bestand!$A$14:$A$213,0)),"ID unbekannt"))</f>
        <v/>
      </c>
      <c r="C953" s="63" t="n"/>
      <c r="D953" s="61" t="n"/>
      <c r="E953" s="60" t="n"/>
      <c r="F953" s="61" t="n"/>
    </row>
    <row r="954">
      <c r="A954" s="60" t="n"/>
      <c r="B954" s="65">
        <f>IF(A954="","",IFERROR(INDEX(Bestand!$B$14:$B$213,MATCH(A954,Bestand!$A$14:$A$213,0)),"ID unbekannt"))</f>
        <v/>
      </c>
      <c r="C954" s="63" t="n"/>
      <c r="D954" s="61" t="n"/>
      <c r="E954" s="60" t="n"/>
      <c r="F954" s="61" t="n"/>
    </row>
    <row r="955">
      <c r="A955" s="60" t="n"/>
      <c r="B955" s="65">
        <f>IF(A955="","",IFERROR(INDEX(Bestand!$B$14:$B$213,MATCH(A955,Bestand!$A$14:$A$213,0)),"ID unbekannt"))</f>
        <v/>
      </c>
      <c r="C955" s="63" t="n"/>
      <c r="D955" s="61" t="n"/>
      <c r="E955" s="60" t="n"/>
      <c r="F955" s="61" t="n"/>
    </row>
    <row r="956">
      <c r="A956" s="60" t="n"/>
      <c r="B956" s="65">
        <f>IF(A956="","",IFERROR(INDEX(Bestand!$B$14:$B$213,MATCH(A956,Bestand!$A$14:$A$213,0)),"ID unbekannt"))</f>
        <v/>
      </c>
      <c r="C956" s="63" t="n"/>
      <c r="D956" s="61" t="n"/>
      <c r="E956" s="60" t="n"/>
      <c r="F956" s="61" t="n"/>
    </row>
    <row r="957">
      <c r="A957" s="60" t="n"/>
      <c r="B957" s="65">
        <f>IF(A957="","",IFERROR(INDEX(Bestand!$B$14:$B$213,MATCH(A957,Bestand!$A$14:$A$213,0)),"ID unbekannt"))</f>
        <v/>
      </c>
      <c r="C957" s="63" t="n"/>
      <c r="D957" s="61" t="n"/>
      <c r="E957" s="60" t="n"/>
      <c r="F957" s="61" t="n"/>
    </row>
    <row r="958">
      <c r="A958" s="60" t="n"/>
      <c r="B958" s="65">
        <f>IF(A958="","",IFERROR(INDEX(Bestand!$B$14:$B$213,MATCH(A958,Bestand!$A$14:$A$213,0)),"ID unbekannt"))</f>
        <v/>
      </c>
      <c r="C958" s="63" t="n"/>
      <c r="D958" s="61" t="n"/>
      <c r="E958" s="60" t="n"/>
      <c r="F958" s="61" t="n"/>
    </row>
    <row r="959">
      <c r="A959" s="60" t="n"/>
      <c r="B959" s="65">
        <f>IF(A959="","",IFERROR(INDEX(Bestand!$B$14:$B$213,MATCH(A959,Bestand!$A$14:$A$213,0)),"ID unbekannt"))</f>
        <v/>
      </c>
      <c r="C959" s="63" t="n"/>
      <c r="D959" s="61" t="n"/>
      <c r="E959" s="60" t="n"/>
      <c r="F959" s="61" t="n"/>
    </row>
    <row r="960">
      <c r="A960" s="60" t="n"/>
      <c r="B960" s="65">
        <f>IF(A960="","",IFERROR(INDEX(Bestand!$B$14:$B$213,MATCH(A960,Bestand!$A$14:$A$213,0)),"ID unbekannt"))</f>
        <v/>
      </c>
      <c r="C960" s="63" t="n"/>
      <c r="D960" s="61" t="n"/>
      <c r="E960" s="60" t="n"/>
      <c r="F960" s="61" t="n"/>
    </row>
    <row r="961">
      <c r="A961" s="60" t="n"/>
      <c r="B961" s="65">
        <f>IF(A961="","",IFERROR(INDEX(Bestand!$B$14:$B$213,MATCH(A961,Bestand!$A$14:$A$213,0)),"ID unbekannt"))</f>
        <v/>
      </c>
      <c r="C961" s="63" t="n"/>
      <c r="D961" s="61" t="n"/>
      <c r="E961" s="60" t="n"/>
      <c r="F961" s="61" t="n"/>
    </row>
    <row r="962">
      <c r="A962" s="60" t="n"/>
      <c r="B962" s="65">
        <f>IF(A962="","",IFERROR(INDEX(Bestand!$B$14:$B$213,MATCH(A962,Bestand!$A$14:$A$213,0)),"ID unbekannt"))</f>
        <v/>
      </c>
      <c r="C962" s="63" t="n"/>
      <c r="D962" s="61" t="n"/>
      <c r="E962" s="60" t="n"/>
      <c r="F962" s="61" t="n"/>
    </row>
    <row r="963">
      <c r="A963" s="60" t="n"/>
      <c r="B963" s="65">
        <f>IF(A963="","",IFERROR(INDEX(Bestand!$B$14:$B$213,MATCH(A963,Bestand!$A$14:$A$213,0)),"ID unbekannt"))</f>
        <v/>
      </c>
      <c r="C963" s="63" t="n"/>
      <c r="D963" s="61" t="n"/>
      <c r="E963" s="60" t="n"/>
      <c r="F963" s="61" t="n"/>
    </row>
    <row r="964">
      <c r="A964" s="60" t="n"/>
      <c r="B964" s="65">
        <f>IF(A964="","",IFERROR(INDEX(Bestand!$B$14:$B$213,MATCH(A964,Bestand!$A$14:$A$213,0)),"ID unbekannt"))</f>
        <v/>
      </c>
      <c r="C964" s="63" t="n"/>
      <c r="D964" s="61" t="n"/>
      <c r="E964" s="60" t="n"/>
      <c r="F964" s="61" t="n"/>
    </row>
    <row r="965">
      <c r="A965" s="60" t="n"/>
      <c r="B965" s="65">
        <f>IF(A965="","",IFERROR(INDEX(Bestand!$B$14:$B$213,MATCH(A965,Bestand!$A$14:$A$213,0)),"ID unbekannt"))</f>
        <v/>
      </c>
      <c r="C965" s="63" t="n"/>
      <c r="D965" s="61" t="n"/>
      <c r="E965" s="60" t="n"/>
      <c r="F965" s="61" t="n"/>
    </row>
    <row r="966">
      <c r="A966" s="60" t="n"/>
      <c r="B966" s="65">
        <f>IF(A966="","",IFERROR(INDEX(Bestand!$B$14:$B$213,MATCH(A966,Bestand!$A$14:$A$213,0)),"ID unbekannt"))</f>
        <v/>
      </c>
      <c r="C966" s="63" t="n"/>
      <c r="D966" s="61" t="n"/>
      <c r="E966" s="60" t="n"/>
      <c r="F966" s="61" t="n"/>
    </row>
    <row r="967">
      <c r="A967" s="60" t="n"/>
      <c r="B967" s="65">
        <f>IF(A967="","",IFERROR(INDEX(Bestand!$B$14:$B$213,MATCH(A967,Bestand!$A$14:$A$213,0)),"ID unbekannt"))</f>
        <v/>
      </c>
      <c r="C967" s="63" t="n"/>
      <c r="D967" s="61" t="n"/>
      <c r="E967" s="60" t="n"/>
      <c r="F967" s="61" t="n"/>
    </row>
    <row r="968">
      <c r="A968" s="60" t="n"/>
      <c r="B968" s="65">
        <f>IF(A968="","",IFERROR(INDEX(Bestand!$B$14:$B$213,MATCH(A968,Bestand!$A$14:$A$213,0)),"ID unbekannt"))</f>
        <v/>
      </c>
      <c r="C968" s="63" t="n"/>
      <c r="D968" s="61" t="n"/>
      <c r="E968" s="60" t="n"/>
      <c r="F968" s="61" t="n"/>
    </row>
    <row r="969">
      <c r="A969" s="60" t="n"/>
      <c r="B969" s="65">
        <f>IF(A969="","",IFERROR(INDEX(Bestand!$B$14:$B$213,MATCH(A969,Bestand!$A$14:$A$213,0)),"ID unbekannt"))</f>
        <v/>
      </c>
      <c r="C969" s="63" t="n"/>
      <c r="D969" s="61" t="n"/>
      <c r="E969" s="60" t="n"/>
      <c r="F969" s="61" t="n"/>
    </row>
    <row r="970">
      <c r="A970" s="60" t="n"/>
      <c r="B970" s="65">
        <f>IF(A970="","",IFERROR(INDEX(Bestand!$B$14:$B$213,MATCH(A970,Bestand!$A$14:$A$213,0)),"ID unbekannt"))</f>
        <v/>
      </c>
      <c r="C970" s="63" t="n"/>
      <c r="D970" s="61" t="n"/>
      <c r="E970" s="60" t="n"/>
      <c r="F970" s="61" t="n"/>
    </row>
    <row r="971">
      <c r="A971" s="60" t="n"/>
      <c r="B971" s="65">
        <f>IF(A971="","",IFERROR(INDEX(Bestand!$B$14:$B$213,MATCH(A971,Bestand!$A$14:$A$213,0)),"ID unbekannt"))</f>
        <v/>
      </c>
      <c r="C971" s="63" t="n"/>
      <c r="D971" s="61" t="n"/>
      <c r="E971" s="60" t="n"/>
      <c r="F971" s="61" t="n"/>
    </row>
    <row r="972">
      <c r="A972" s="60" t="n"/>
      <c r="B972" s="65">
        <f>IF(A972="","",IFERROR(INDEX(Bestand!$B$14:$B$213,MATCH(A972,Bestand!$A$14:$A$213,0)),"ID unbekannt"))</f>
        <v/>
      </c>
      <c r="C972" s="63" t="n"/>
      <c r="D972" s="61" t="n"/>
      <c r="E972" s="60" t="n"/>
      <c r="F972" s="61" t="n"/>
    </row>
    <row r="973">
      <c r="A973" s="60" t="n"/>
      <c r="B973" s="65">
        <f>IF(A973="","",IFERROR(INDEX(Bestand!$B$14:$B$213,MATCH(A973,Bestand!$A$14:$A$213,0)),"ID unbekannt"))</f>
        <v/>
      </c>
      <c r="C973" s="63" t="n"/>
      <c r="D973" s="61" t="n"/>
      <c r="E973" s="60" t="n"/>
      <c r="F973" s="61" t="n"/>
    </row>
    <row r="974">
      <c r="A974" s="60" t="n"/>
      <c r="B974" s="65">
        <f>IF(A974="","",IFERROR(INDEX(Bestand!$B$14:$B$213,MATCH(A974,Bestand!$A$14:$A$213,0)),"ID unbekannt"))</f>
        <v/>
      </c>
      <c r="C974" s="63" t="n"/>
      <c r="D974" s="61" t="n"/>
      <c r="E974" s="60" t="n"/>
      <c r="F974" s="61" t="n"/>
    </row>
    <row r="975">
      <c r="A975" s="60" t="n"/>
      <c r="B975" s="65">
        <f>IF(A975="","",IFERROR(INDEX(Bestand!$B$14:$B$213,MATCH(A975,Bestand!$A$14:$A$213,0)),"ID unbekannt"))</f>
        <v/>
      </c>
      <c r="C975" s="63" t="n"/>
      <c r="D975" s="61" t="n"/>
      <c r="E975" s="60" t="n"/>
      <c r="F975" s="61" t="n"/>
    </row>
    <row r="976">
      <c r="A976" s="60" t="n"/>
      <c r="B976" s="65">
        <f>IF(A976="","",IFERROR(INDEX(Bestand!$B$14:$B$213,MATCH(A976,Bestand!$A$14:$A$213,0)),"ID unbekannt"))</f>
        <v/>
      </c>
      <c r="C976" s="63" t="n"/>
      <c r="D976" s="61" t="n"/>
      <c r="E976" s="60" t="n"/>
      <c r="F976" s="61" t="n"/>
    </row>
    <row r="977">
      <c r="A977" s="60" t="n"/>
      <c r="B977" s="65">
        <f>IF(A977="","",IFERROR(INDEX(Bestand!$B$14:$B$213,MATCH(A977,Bestand!$A$14:$A$213,0)),"ID unbekannt"))</f>
        <v/>
      </c>
      <c r="C977" s="63" t="n"/>
      <c r="D977" s="61" t="n"/>
      <c r="E977" s="60" t="n"/>
      <c r="F977" s="61" t="n"/>
    </row>
    <row r="978">
      <c r="A978" s="60" t="n"/>
      <c r="B978" s="65">
        <f>IF(A978="","",IFERROR(INDEX(Bestand!$B$14:$B$213,MATCH(A978,Bestand!$A$14:$A$213,0)),"ID unbekannt"))</f>
        <v/>
      </c>
      <c r="C978" s="63" t="n"/>
      <c r="D978" s="61" t="n"/>
      <c r="E978" s="60" t="n"/>
      <c r="F978" s="61" t="n"/>
    </row>
    <row r="979">
      <c r="A979" s="60" t="n"/>
      <c r="B979" s="65">
        <f>IF(A979="","",IFERROR(INDEX(Bestand!$B$14:$B$213,MATCH(A979,Bestand!$A$14:$A$213,0)),"ID unbekannt"))</f>
        <v/>
      </c>
      <c r="C979" s="63" t="n"/>
      <c r="D979" s="61" t="n"/>
      <c r="E979" s="60" t="n"/>
      <c r="F979" s="61" t="n"/>
    </row>
    <row r="980">
      <c r="A980" s="60" t="n"/>
      <c r="B980" s="65">
        <f>IF(A980="","",IFERROR(INDEX(Bestand!$B$14:$B$213,MATCH(A980,Bestand!$A$14:$A$213,0)),"ID unbekannt"))</f>
        <v/>
      </c>
      <c r="C980" s="63" t="n"/>
      <c r="D980" s="61" t="n"/>
      <c r="E980" s="60" t="n"/>
      <c r="F980" s="61" t="n"/>
    </row>
    <row r="981">
      <c r="A981" s="60" t="n"/>
      <c r="B981" s="65">
        <f>IF(A981="","",IFERROR(INDEX(Bestand!$B$14:$B$213,MATCH(A981,Bestand!$A$14:$A$213,0)),"ID unbekannt"))</f>
        <v/>
      </c>
      <c r="C981" s="63" t="n"/>
      <c r="D981" s="61" t="n"/>
      <c r="E981" s="60" t="n"/>
      <c r="F981" s="61" t="n"/>
    </row>
    <row r="982">
      <c r="A982" s="60" t="n"/>
      <c r="B982" s="65">
        <f>IF(A982="","",IFERROR(INDEX(Bestand!$B$14:$B$213,MATCH(A982,Bestand!$A$14:$A$213,0)),"ID unbekannt"))</f>
        <v/>
      </c>
      <c r="C982" s="63" t="n"/>
      <c r="D982" s="61" t="n"/>
      <c r="E982" s="60" t="n"/>
      <c r="F982" s="61" t="n"/>
    </row>
    <row r="983">
      <c r="A983" s="60" t="n"/>
      <c r="B983" s="65">
        <f>IF(A983="","",IFERROR(INDEX(Bestand!$B$14:$B$213,MATCH(A983,Bestand!$A$14:$A$213,0)),"ID unbekannt"))</f>
        <v/>
      </c>
      <c r="C983" s="63" t="n"/>
      <c r="D983" s="61" t="n"/>
      <c r="E983" s="60" t="n"/>
      <c r="F983" s="61" t="n"/>
    </row>
    <row r="984">
      <c r="A984" s="60" t="n"/>
      <c r="B984" s="65">
        <f>IF(A984="","",IFERROR(INDEX(Bestand!$B$14:$B$213,MATCH(A984,Bestand!$A$14:$A$213,0)),"ID unbekannt"))</f>
        <v/>
      </c>
      <c r="C984" s="63" t="n"/>
      <c r="D984" s="61" t="n"/>
      <c r="E984" s="60" t="n"/>
      <c r="F984" s="61" t="n"/>
    </row>
    <row r="985">
      <c r="A985" s="60" t="n"/>
      <c r="B985" s="65">
        <f>IF(A985="","",IFERROR(INDEX(Bestand!$B$14:$B$213,MATCH(A985,Bestand!$A$14:$A$213,0)),"ID unbekannt"))</f>
        <v/>
      </c>
      <c r="C985" s="63" t="n"/>
      <c r="D985" s="61" t="n"/>
      <c r="E985" s="60" t="n"/>
      <c r="F985" s="61" t="n"/>
    </row>
    <row r="986">
      <c r="A986" s="60" t="n"/>
      <c r="B986" s="65">
        <f>IF(A986="","",IFERROR(INDEX(Bestand!$B$14:$B$213,MATCH(A986,Bestand!$A$14:$A$213,0)),"ID unbekannt"))</f>
        <v/>
      </c>
      <c r="C986" s="63" t="n"/>
      <c r="D986" s="61" t="n"/>
      <c r="E986" s="60" t="n"/>
      <c r="F986" s="61" t="n"/>
    </row>
    <row r="987">
      <c r="A987" s="60" t="n"/>
      <c r="B987" s="65">
        <f>IF(A987="","",IFERROR(INDEX(Bestand!$B$14:$B$213,MATCH(A987,Bestand!$A$14:$A$213,0)),"ID unbekannt"))</f>
        <v/>
      </c>
      <c r="C987" s="63" t="n"/>
      <c r="D987" s="61" t="n"/>
      <c r="E987" s="60" t="n"/>
      <c r="F987" s="61" t="n"/>
    </row>
    <row r="988">
      <c r="A988" s="60" t="n"/>
      <c r="B988" s="65">
        <f>IF(A988="","",IFERROR(INDEX(Bestand!$B$14:$B$213,MATCH(A988,Bestand!$A$14:$A$213,0)),"ID unbekannt"))</f>
        <v/>
      </c>
      <c r="C988" s="63" t="n"/>
      <c r="D988" s="61" t="n"/>
      <c r="E988" s="60" t="n"/>
      <c r="F988" s="61" t="n"/>
    </row>
    <row r="989">
      <c r="A989" s="60" t="n"/>
      <c r="B989" s="65">
        <f>IF(A989="","",IFERROR(INDEX(Bestand!$B$14:$B$213,MATCH(A989,Bestand!$A$14:$A$213,0)),"ID unbekannt"))</f>
        <v/>
      </c>
      <c r="C989" s="63" t="n"/>
      <c r="D989" s="61" t="n"/>
      <c r="E989" s="60" t="n"/>
      <c r="F989" s="61" t="n"/>
    </row>
    <row r="990">
      <c r="A990" s="60" t="n"/>
      <c r="B990" s="65">
        <f>IF(A990="","",IFERROR(INDEX(Bestand!$B$14:$B$213,MATCH(A990,Bestand!$A$14:$A$213,0)),"ID unbekannt"))</f>
        <v/>
      </c>
      <c r="C990" s="63" t="n"/>
      <c r="D990" s="61" t="n"/>
      <c r="E990" s="60" t="n"/>
      <c r="F990" s="61" t="n"/>
    </row>
    <row r="991">
      <c r="A991" s="60" t="n"/>
      <c r="B991" s="65">
        <f>IF(A991="","",IFERROR(INDEX(Bestand!$B$14:$B$213,MATCH(A991,Bestand!$A$14:$A$213,0)),"ID unbekannt"))</f>
        <v/>
      </c>
      <c r="C991" s="63" t="n"/>
      <c r="D991" s="61" t="n"/>
      <c r="E991" s="60" t="n"/>
      <c r="F991" s="61" t="n"/>
    </row>
    <row r="992">
      <c r="A992" s="60" t="n"/>
      <c r="B992" s="65">
        <f>IF(A992="","",IFERROR(INDEX(Bestand!$B$14:$B$213,MATCH(A992,Bestand!$A$14:$A$213,0)),"ID unbekannt"))</f>
        <v/>
      </c>
      <c r="C992" s="63" t="n"/>
      <c r="D992" s="61" t="n"/>
      <c r="E992" s="60" t="n"/>
      <c r="F992" s="61" t="n"/>
    </row>
    <row r="993">
      <c r="A993" s="60" t="n"/>
      <c r="B993" s="65">
        <f>IF(A993="","",IFERROR(INDEX(Bestand!$B$14:$B$213,MATCH(A993,Bestand!$A$14:$A$213,0)),"ID unbekannt"))</f>
        <v/>
      </c>
      <c r="C993" s="63" t="n"/>
      <c r="D993" s="61" t="n"/>
      <c r="E993" s="60" t="n"/>
      <c r="F993" s="61" t="n"/>
    </row>
    <row r="994">
      <c r="A994" s="60" t="n"/>
      <c r="B994" s="65">
        <f>IF(A994="","",IFERROR(INDEX(Bestand!$B$14:$B$213,MATCH(A994,Bestand!$A$14:$A$213,0)),"ID unbekannt"))</f>
        <v/>
      </c>
      <c r="C994" s="63" t="n"/>
      <c r="D994" s="61" t="n"/>
      <c r="E994" s="60" t="n"/>
      <c r="F994" s="61" t="n"/>
    </row>
    <row r="995">
      <c r="A995" s="60" t="n"/>
      <c r="B995" s="65">
        <f>IF(A995="","",IFERROR(INDEX(Bestand!$B$14:$B$213,MATCH(A995,Bestand!$A$14:$A$213,0)),"ID unbekannt"))</f>
        <v/>
      </c>
      <c r="C995" s="63" t="n"/>
      <c r="D995" s="61" t="n"/>
      <c r="E995" s="60" t="n"/>
      <c r="F995" s="61" t="n"/>
    </row>
    <row r="996">
      <c r="A996" s="60" t="n"/>
      <c r="B996" s="65">
        <f>IF(A996="","",IFERROR(INDEX(Bestand!$B$14:$B$213,MATCH(A996,Bestand!$A$14:$A$213,0)),"ID unbekannt"))</f>
        <v/>
      </c>
      <c r="C996" s="63" t="n"/>
      <c r="D996" s="61" t="n"/>
      <c r="E996" s="60" t="n"/>
      <c r="F996" s="61" t="n"/>
    </row>
    <row r="997">
      <c r="A997" s="60" t="n"/>
      <c r="B997" s="65">
        <f>IF(A997="","",IFERROR(INDEX(Bestand!$B$14:$B$213,MATCH(A997,Bestand!$A$14:$A$213,0)),"ID unbekannt"))</f>
        <v/>
      </c>
      <c r="C997" s="63" t="n"/>
      <c r="D997" s="61" t="n"/>
      <c r="E997" s="60" t="n"/>
      <c r="F997" s="61" t="n"/>
    </row>
    <row r="998">
      <c r="A998" s="60" t="n"/>
      <c r="B998" s="65">
        <f>IF(A998="","",IFERROR(INDEX(Bestand!$B$14:$B$213,MATCH(A998,Bestand!$A$14:$A$213,0)),"ID unbekannt"))</f>
        <v/>
      </c>
      <c r="C998" s="63" t="n"/>
      <c r="D998" s="61" t="n"/>
      <c r="E998" s="60" t="n"/>
      <c r="F998" s="61" t="n"/>
    </row>
    <row r="999">
      <c r="A999" s="60" t="n"/>
      <c r="B999" s="65">
        <f>IF(A999="","",IFERROR(INDEX(Bestand!$B$14:$B$213,MATCH(A999,Bestand!$A$14:$A$213,0)),"ID unbekannt"))</f>
        <v/>
      </c>
      <c r="C999" s="63" t="n"/>
      <c r="D999" s="61" t="n"/>
      <c r="E999" s="60" t="n"/>
      <c r="F999" s="61" t="n"/>
    </row>
    <row r="1000">
      <c r="A1000" s="60" t="n"/>
      <c r="B1000" s="65">
        <f>IF(A1000="","",IFERROR(INDEX(Bestand!$B$14:$B$213,MATCH(A1000,Bestand!$A$14:$A$213,0)),"ID unbekannt"))</f>
        <v/>
      </c>
      <c r="C1000" s="63" t="n"/>
      <c r="D1000" s="61" t="n"/>
      <c r="E1000" s="60" t="n"/>
      <c r="F1000" s="61" t="n"/>
    </row>
    <row r="1001">
      <c r="A1001" s="60" t="n"/>
      <c r="B1001" s="65">
        <f>IF(A1001="","",IFERROR(INDEX(Bestand!$B$14:$B$213,MATCH(A1001,Bestand!$A$14:$A$213,0)),"ID unbekannt"))</f>
        <v/>
      </c>
      <c r="C1001" s="63" t="n"/>
      <c r="D1001" s="61" t="n"/>
      <c r="E1001" s="60" t="n"/>
      <c r="F1001" s="61" t="n"/>
    </row>
    <row r="1002">
      <c r="A1002" s="60" t="n"/>
      <c r="B1002" s="65">
        <f>IF(A1002="","",IFERROR(INDEX(Bestand!$B$14:$B$213,MATCH(A1002,Bestand!$A$14:$A$213,0)),"ID unbekannt"))</f>
        <v/>
      </c>
      <c r="C1002" s="63" t="n"/>
      <c r="D1002" s="61" t="n"/>
      <c r="E1002" s="60" t="n"/>
      <c r="F1002" s="61" t="n"/>
    </row>
    <row r="1003">
      <c r="A1003" s="60" t="n"/>
      <c r="B1003" s="65">
        <f>IF(A1003="","",IFERROR(INDEX(Bestand!$B$14:$B$213,MATCH(A1003,Bestand!$A$14:$A$213,0)),"ID unbekannt"))</f>
        <v/>
      </c>
      <c r="C1003" s="63" t="n"/>
      <c r="D1003" s="61" t="n"/>
      <c r="E1003" s="60" t="n"/>
      <c r="F1003" s="61" t="n"/>
    </row>
    <row r="1004">
      <c r="A1004" s="60" t="n"/>
      <c r="B1004" s="65">
        <f>IF(A1004="","",IFERROR(INDEX(Bestand!$B$14:$B$213,MATCH(A1004,Bestand!$A$14:$A$213,0)),"ID unbekannt"))</f>
        <v/>
      </c>
      <c r="C1004" s="63" t="n"/>
      <c r="D1004" s="61" t="n"/>
      <c r="E1004" s="60" t="n"/>
      <c r="F1004" s="61" t="n"/>
    </row>
    <row r="1005">
      <c r="A1005" s="60" t="n"/>
      <c r="B1005" s="65">
        <f>IF(A1005="","",IFERROR(INDEX(Bestand!$B$14:$B$213,MATCH(A1005,Bestand!$A$14:$A$213,0)),"ID unbekannt"))</f>
        <v/>
      </c>
      <c r="C1005" s="63" t="n"/>
      <c r="D1005" s="61" t="n"/>
      <c r="E1005" s="60" t="n"/>
      <c r="F1005" s="61" t="n"/>
    </row>
    <row r="1006">
      <c r="A1006" s="60" t="n"/>
      <c r="B1006" s="65">
        <f>IF(A1006="","",IFERROR(INDEX(Bestand!$B$14:$B$213,MATCH(A1006,Bestand!$A$14:$A$213,0)),"ID unbekannt"))</f>
        <v/>
      </c>
      <c r="C1006" s="63" t="n"/>
      <c r="D1006" s="61" t="n"/>
      <c r="E1006" s="60" t="n"/>
      <c r="F1006" s="61" t="n"/>
    </row>
    <row r="1007">
      <c r="A1007" s="60" t="n"/>
      <c r="B1007" s="65">
        <f>IF(A1007="","",IFERROR(INDEX(Bestand!$B$14:$B$213,MATCH(A1007,Bestand!$A$14:$A$213,0)),"ID unbekannt"))</f>
        <v/>
      </c>
      <c r="C1007" s="63" t="n"/>
      <c r="D1007" s="61" t="n"/>
      <c r="E1007" s="60" t="n"/>
      <c r="F1007" s="61" t="n"/>
    </row>
    <row r="1008">
      <c r="A1008" s="60" t="n"/>
      <c r="B1008" s="65">
        <f>IF(A1008="","",IFERROR(INDEX(Bestand!$B$14:$B$213,MATCH(A1008,Bestand!$A$14:$A$213,0)),"ID unbekannt"))</f>
        <v/>
      </c>
      <c r="C1008" s="63" t="n"/>
      <c r="D1008" s="61" t="n"/>
      <c r="E1008" s="60" t="n"/>
      <c r="F1008" s="61" t="n"/>
    </row>
    <row r="1009">
      <c r="A1009" s="60" t="n"/>
      <c r="B1009" s="65">
        <f>IF(A1009="","",IFERROR(INDEX(Bestand!$B$14:$B$213,MATCH(A1009,Bestand!$A$14:$A$213,0)),"ID unbekannt"))</f>
        <v/>
      </c>
      <c r="C1009" s="63" t="n"/>
      <c r="D1009" s="61" t="n"/>
      <c r="E1009" s="60" t="n"/>
      <c r="F1009" s="61" t="n"/>
    </row>
    <row r="1010">
      <c r="A1010" s="60" t="n"/>
      <c r="B1010" s="65">
        <f>IF(A1010="","",IFERROR(INDEX(Bestand!$B$14:$B$213,MATCH(A1010,Bestand!$A$14:$A$213,0)),"ID unbekannt"))</f>
        <v/>
      </c>
      <c r="C1010" s="63" t="n"/>
      <c r="D1010" s="61" t="n"/>
      <c r="E1010" s="60" t="n"/>
      <c r="F1010" s="61" t="n"/>
    </row>
    <row r="1011">
      <c r="A1011" s="60" t="n"/>
      <c r="B1011" s="65">
        <f>IF(A1011="","",IFERROR(INDEX(Bestand!$B$14:$B$213,MATCH(A1011,Bestand!$A$14:$A$213,0)),"ID unbekannt"))</f>
        <v/>
      </c>
      <c r="C1011" s="63" t="n"/>
      <c r="D1011" s="61" t="n"/>
      <c r="E1011" s="60" t="n"/>
      <c r="F1011" s="61" t="n"/>
    </row>
    <row r="1012">
      <c r="A1012" s="60" t="n"/>
      <c r="B1012" s="65">
        <f>IF(A1012="","",IFERROR(INDEX(Bestand!$B$14:$B$213,MATCH(A1012,Bestand!$A$14:$A$213,0)),"ID unbekannt"))</f>
        <v/>
      </c>
      <c r="C1012" s="63" t="n"/>
      <c r="D1012" s="61" t="n"/>
      <c r="E1012" s="60" t="n"/>
      <c r="F1012" s="61" t="n"/>
    </row>
    <row r="1013">
      <c r="A1013" s="60" t="n"/>
      <c r="B1013" s="65">
        <f>IF(A1013="","",IFERROR(INDEX(Bestand!$B$14:$B$213,MATCH(A1013,Bestand!$A$14:$A$213,0)),"ID unbekannt"))</f>
        <v/>
      </c>
      <c r="C1013" s="63" t="n"/>
      <c r="D1013" s="61" t="n"/>
      <c r="E1013" s="60" t="n"/>
      <c r="F1013" s="61" t="n"/>
    </row>
    <row r="1014">
      <c r="A1014" s="60" t="n"/>
      <c r="B1014" s="65">
        <f>IF(A1014="","",IFERROR(INDEX(Bestand!$B$14:$B$213,MATCH(A1014,Bestand!$A$14:$A$213,0)),"ID unbekannt"))</f>
        <v/>
      </c>
      <c r="C1014" s="63" t="n"/>
      <c r="D1014" s="61" t="n"/>
      <c r="E1014" s="60" t="n"/>
      <c r="F1014" s="61" t="n"/>
    </row>
    <row r="1015">
      <c r="A1015" s="60" t="n"/>
      <c r="B1015" s="65">
        <f>IF(A1015="","",IFERROR(INDEX(Bestand!$B$14:$B$213,MATCH(A1015,Bestand!$A$14:$A$213,0)),"ID unbekannt"))</f>
        <v/>
      </c>
      <c r="C1015" s="63" t="n"/>
      <c r="D1015" s="61" t="n"/>
      <c r="E1015" s="60" t="n"/>
      <c r="F1015" s="61" t="n"/>
    </row>
    <row r="1016">
      <c r="A1016" s="60" t="n"/>
      <c r="B1016" s="65">
        <f>IF(A1016="","",IFERROR(INDEX(Bestand!$B$14:$B$213,MATCH(A1016,Bestand!$A$14:$A$213,0)),"ID unbekannt"))</f>
        <v/>
      </c>
      <c r="C1016" s="63" t="n"/>
      <c r="D1016" s="61" t="n"/>
      <c r="E1016" s="60" t="n"/>
      <c r="F1016" s="61" t="n"/>
    </row>
    <row r="1017">
      <c r="A1017" s="60" t="n"/>
      <c r="B1017" s="65">
        <f>IF(A1017="","",IFERROR(INDEX(Bestand!$B$14:$B$213,MATCH(A1017,Bestand!$A$14:$A$213,0)),"ID unbekannt"))</f>
        <v/>
      </c>
      <c r="C1017" s="63" t="n"/>
      <c r="D1017" s="61" t="n"/>
      <c r="E1017" s="60" t="n"/>
      <c r="F1017" s="61" t="n"/>
    </row>
    <row r="1018">
      <c r="A1018" s="60" t="n"/>
      <c r="B1018" s="65">
        <f>IF(A1018="","",IFERROR(INDEX(Bestand!$B$14:$B$213,MATCH(A1018,Bestand!$A$14:$A$213,0)),"ID unbekannt"))</f>
        <v/>
      </c>
      <c r="C1018" s="63" t="n"/>
      <c r="D1018" s="61" t="n"/>
      <c r="E1018" s="60" t="n"/>
      <c r="F1018" s="61" t="n"/>
    </row>
    <row r="1019">
      <c r="A1019" s="60" t="n"/>
      <c r="B1019" s="65">
        <f>IF(A1019="","",IFERROR(INDEX(Bestand!$B$14:$B$213,MATCH(A1019,Bestand!$A$14:$A$213,0)),"ID unbekannt"))</f>
        <v/>
      </c>
      <c r="C1019" s="63" t="n"/>
      <c r="D1019" s="61" t="n"/>
      <c r="E1019" s="60" t="n"/>
      <c r="F1019" s="61" t="n"/>
    </row>
    <row r="1020">
      <c r="A1020" s="60" t="n"/>
      <c r="B1020" s="65">
        <f>IF(A1020="","",IFERROR(INDEX(Bestand!$B$14:$B$213,MATCH(A1020,Bestand!$A$14:$A$213,0)),"ID unbekannt"))</f>
        <v/>
      </c>
      <c r="C1020" s="63" t="n"/>
      <c r="D1020" s="61" t="n"/>
      <c r="E1020" s="60" t="n"/>
      <c r="F1020" s="61" t="n"/>
    </row>
    <row r="1021">
      <c r="A1021" s="60" t="n"/>
      <c r="B1021" s="65">
        <f>IF(A1021="","",IFERROR(INDEX(Bestand!$B$14:$B$213,MATCH(A1021,Bestand!$A$14:$A$213,0)),"ID unbekannt"))</f>
        <v/>
      </c>
      <c r="C1021" s="63" t="n"/>
      <c r="D1021" s="61" t="n"/>
      <c r="E1021" s="60" t="n"/>
      <c r="F1021" s="61" t="n"/>
    </row>
    <row r="1022">
      <c r="A1022" s="60" t="n"/>
      <c r="B1022" s="65">
        <f>IF(A1022="","",IFERROR(INDEX(Bestand!$B$14:$B$213,MATCH(A1022,Bestand!$A$14:$A$213,0)),"ID unbekannt"))</f>
        <v/>
      </c>
      <c r="C1022" s="63" t="n"/>
      <c r="D1022" s="61" t="n"/>
      <c r="E1022" s="60" t="n"/>
      <c r="F1022" s="61" t="n"/>
    </row>
    <row r="1023">
      <c r="A1023" s="60" t="n"/>
      <c r="B1023" s="65">
        <f>IF(A1023="","",IFERROR(INDEX(Bestand!$B$14:$B$213,MATCH(A1023,Bestand!$A$14:$A$213,0)),"ID unbekannt"))</f>
        <v/>
      </c>
      <c r="C1023" s="63" t="n"/>
      <c r="D1023" s="61" t="n"/>
      <c r="E1023" s="60" t="n"/>
      <c r="F1023" s="61" t="n"/>
    </row>
    <row r="1024">
      <c r="A1024" s="60" t="n"/>
      <c r="B1024" s="65">
        <f>IF(A1024="","",IFERROR(INDEX(Bestand!$B$14:$B$213,MATCH(A1024,Bestand!$A$14:$A$213,0)),"ID unbekannt"))</f>
        <v/>
      </c>
      <c r="C1024" s="63" t="n"/>
      <c r="D1024" s="61" t="n"/>
      <c r="E1024" s="60" t="n"/>
      <c r="F1024" s="61" t="n"/>
    </row>
    <row r="1025">
      <c r="A1025" s="60" t="n"/>
      <c r="B1025" s="65">
        <f>IF(A1025="","",IFERROR(INDEX(Bestand!$B$14:$B$213,MATCH(A1025,Bestand!$A$14:$A$213,0)),"ID unbekannt"))</f>
        <v/>
      </c>
      <c r="C1025" s="63" t="n"/>
      <c r="D1025" s="61" t="n"/>
      <c r="E1025" s="60" t="n"/>
      <c r="F1025" s="61" t="n"/>
    </row>
    <row r="1026">
      <c r="A1026" s="60" t="n"/>
      <c r="B1026" s="65">
        <f>IF(A1026="","",IFERROR(INDEX(Bestand!$B$14:$B$213,MATCH(A1026,Bestand!$A$14:$A$213,0)),"ID unbekannt"))</f>
        <v/>
      </c>
      <c r="C1026" s="63" t="n"/>
      <c r="D1026" s="61" t="n"/>
      <c r="E1026" s="60" t="n"/>
      <c r="F1026" s="61" t="n"/>
    </row>
    <row r="1027">
      <c r="A1027" s="60" t="n"/>
      <c r="B1027" s="65">
        <f>IF(A1027="","",IFERROR(INDEX(Bestand!$B$14:$B$213,MATCH(A1027,Bestand!$A$14:$A$213,0)),"ID unbekannt"))</f>
        <v/>
      </c>
      <c r="C1027" s="63" t="n"/>
      <c r="D1027" s="61" t="n"/>
      <c r="E1027" s="60" t="n"/>
      <c r="F1027" s="61" t="n"/>
    </row>
    <row r="1028">
      <c r="A1028" s="60" t="n"/>
      <c r="B1028" s="65">
        <f>IF(A1028="","",IFERROR(INDEX(Bestand!$B$14:$B$213,MATCH(A1028,Bestand!$A$14:$A$213,0)),"ID unbekannt"))</f>
        <v/>
      </c>
      <c r="C1028" s="63" t="n"/>
      <c r="D1028" s="61" t="n"/>
      <c r="E1028" s="60" t="n"/>
      <c r="F1028" s="61" t="n"/>
    </row>
    <row r="1029">
      <c r="A1029" s="60" t="n"/>
      <c r="B1029" s="65">
        <f>IF(A1029="","",IFERROR(INDEX(Bestand!$B$14:$B$213,MATCH(A1029,Bestand!$A$14:$A$213,0)),"ID unbekannt"))</f>
        <v/>
      </c>
      <c r="C1029" s="63" t="n"/>
      <c r="D1029" s="61" t="n"/>
      <c r="E1029" s="60" t="n"/>
      <c r="F1029" s="61" t="n"/>
    </row>
    <row r="1030">
      <c r="A1030" s="60" t="n"/>
      <c r="B1030" s="65">
        <f>IF(A1030="","",IFERROR(INDEX(Bestand!$B$14:$B$213,MATCH(A1030,Bestand!$A$14:$A$213,0)),"ID unbekannt"))</f>
        <v/>
      </c>
      <c r="C1030" s="63" t="n"/>
      <c r="D1030" s="61" t="n"/>
      <c r="E1030" s="60" t="n"/>
      <c r="F1030" s="61" t="n"/>
    </row>
    <row r="1031">
      <c r="A1031" s="60" t="n"/>
      <c r="B1031" s="65">
        <f>IF(A1031="","",IFERROR(INDEX(Bestand!$B$14:$B$213,MATCH(A1031,Bestand!$A$14:$A$213,0)),"ID unbekannt"))</f>
        <v/>
      </c>
      <c r="C1031" s="63" t="n"/>
      <c r="D1031" s="61" t="n"/>
      <c r="E1031" s="60" t="n"/>
      <c r="F1031" s="61" t="n"/>
    </row>
    <row r="1032">
      <c r="A1032" s="60" t="n"/>
      <c r="B1032" s="65">
        <f>IF(A1032="","",IFERROR(INDEX(Bestand!$B$14:$B$213,MATCH(A1032,Bestand!$A$14:$A$213,0)),"ID unbekannt"))</f>
        <v/>
      </c>
      <c r="C1032" s="63" t="n"/>
      <c r="D1032" s="61" t="n"/>
      <c r="E1032" s="60" t="n"/>
      <c r="F1032" s="61" t="n"/>
    </row>
    <row r="1033">
      <c r="A1033" s="60" t="n"/>
      <c r="B1033" s="65">
        <f>IF(A1033="","",IFERROR(INDEX(Bestand!$B$14:$B$213,MATCH(A1033,Bestand!$A$14:$A$213,0)),"ID unbekannt"))</f>
        <v/>
      </c>
      <c r="C1033" s="63" t="n"/>
      <c r="D1033" s="61" t="n"/>
      <c r="E1033" s="60" t="n"/>
      <c r="F1033" s="61" t="n"/>
    </row>
    <row r="1034">
      <c r="A1034" s="60" t="n"/>
      <c r="B1034" s="65">
        <f>IF(A1034="","",IFERROR(INDEX(Bestand!$B$14:$B$213,MATCH(A1034,Bestand!$A$14:$A$213,0)),"ID unbekannt"))</f>
        <v/>
      </c>
      <c r="C1034" s="63" t="n"/>
      <c r="D1034" s="61" t="n"/>
      <c r="E1034" s="60" t="n"/>
      <c r="F1034" s="61" t="n"/>
    </row>
    <row r="1035">
      <c r="A1035" s="60" t="n"/>
      <c r="B1035" s="65">
        <f>IF(A1035="","",IFERROR(INDEX(Bestand!$B$14:$B$213,MATCH(A1035,Bestand!$A$14:$A$213,0)),"ID unbekannt"))</f>
        <v/>
      </c>
      <c r="C1035" s="63" t="n"/>
      <c r="D1035" s="61" t="n"/>
      <c r="E1035" s="60" t="n"/>
      <c r="F1035" s="61" t="n"/>
    </row>
    <row r="1036">
      <c r="A1036" s="60" t="n"/>
      <c r="B1036" s="65">
        <f>IF(A1036="","",IFERROR(INDEX(Bestand!$B$14:$B$213,MATCH(A1036,Bestand!$A$14:$A$213,0)),"ID unbekannt"))</f>
        <v/>
      </c>
      <c r="C1036" s="63" t="n"/>
      <c r="D1036" s="61" t="n"/>
      <c r="E1036" s="60" t="n"/>
      <c r="F1036" s="61" t="n"/>
    </row>
    <row r="1037">
      <c r="A1037" s="60" t="n"/>
      <c r="B1037" s="65">
        <f>IF(A1037="","",IFERROR(INDEX(Bestand!$B$14:$B$213,MATCH(A1037,Bestand!$A$14:$A$213,0)),"ID unbekannt"))</f>
        <v/>
      </c>
      <c r="C1037" s="63" t="n"/>
      <c r="D1037" s="61" t="n"/>
      <c r="E1037" s="60" t="n"/>
      <c r="F1037" s="61" t="n"/>
    </row>
    <row r="1038">
      <c r="A1038" s="60" t="n"/>
      <c r="B1038" s="65">
        <f>IF(A1038="","",IFERROR(INDEX(Bestand!$B$14:$B$213,MATCH(A1038,Bestand!$A$14:$A$213,0)),"ID unbekannt"))</f>
        <v/>
      </c>
      <c r="C1038" s="63" t="n"/>
      <c r="D1038" s="61" t="n"/>
      <c r="E1038" s="60" t="n"/>
      <c r="F1038" s="61" t="n"/>
    </row>
    <row r="1039">
      <c r="A1039" s="60" t="n"/>
      <c r="B1039" s="65">
        <f>IF(A1039="","",IFERROR(INDEX(Bestand!$B$14:$B$213,MATCH(A1039,Bestand!$A$14:$A$213,0)),"ID unbekannt"))</f>
        <v/>
      </c>
      <c r="C1039" s="63" t="n"/>
      <c r="D1039" s="61" t="n"/>
      <c r="E1039" s="60" t="n"/>
      <c r="F1039" s="61" t="n"/>
    </row>
    <row r="1040">
      <c r="A1040" s="60" t="n"/>
      <c r="B1040" s="65">
        <f>IF(A1040="","",IFERROR(INDEX(Bestand!$B$14:$B$213,MATCH(A1040,Bestand!$A$14:$A$213,0)),"ID unbekannt"))</f>
        <v/>
      </c>
      <c r="C1040" s="63" t="n"/>
      <c r="D1040" s="61" t="n"/>
      <c r="E1040" s="60" t="n"/>
      <c r="F1040" s="61" t="n"/>
    </row>
    <row r="1041">
      <c r="A1041" s="60" t="n"/>
      <c r="B1041" s="65">
        <f>IF(A1041="","",IFERROR(INDEX(Bestand!$B$14:$B$213,MATCH(A1041,Bestand!$A$14:$A$213,0)),"ID unbekannt"))</f>
        <v/>
      </c>
      <c r="C1041" s="63" t="n"/>
      <c r="D1041" s="61" t="n"/>
      <c r="E1041" s="60" t="n"/>
      <c r="F1041" s="61" t="n"/>
    </row>
    <row r="1042">
      <c r="A1042" s="60" t="n"/>
      <c r="B1042" s="65">
        <f>IF(A1042="","",IFERROR(INDEX(Bestand!$B$14:$B$213,MATCH(A1042,Bestand!$A$14:$A$213,0)),"ID unbekannt"))</f>
        <v/>
      </c>
      <c r="C1042" s="63" t="n"/>
      <c r="D1042" s="61" t="n"/>
      <c r="E1042" s="60" t="n"/>
      <c r="F1042" s="61" t="n"/>
    </row>
    <row r="1043">
      <c r="A1043" s="60" t="n"/>
      <c r="B1043" s="65">
        <f>IF(A1043="","",IFERROR(INDEX(Bestand!$B$14:$B$213,MATCH(A1043,Bestand!$A$14:$A$213,0)),"ID unbekannt"))</f>
        <v/>
      </c>
      <c r="C1043" s="63" t="n"/>
      <c r="D1043" s="61" t="n"/>
      <c r="E1043" s="60" t="n"/>
      <c r="F1043" s="61" t="n"/>
    </row>
    <row r="1044">
      <c r="A1044" s="60" t="n"/>
      <c r="B1044" s="65">
        <f>IF(A1044="","",IFERROR(INDEX(Bestand!$B$14:$B$213,MATCH(A1044,Bestand!$A$14:$A$213,0)),"ID unbekannt"))</f>
        <v/>
      </c>
      <c r="C1044" s="63" t="n"/>
      <c r="D1044" s="61" t="n"/>
      <c r="E1044" s="60" t="n"/>
      <c r="F1044" s="61" t="n"/>
    </row>
    <row r="1045">
      <c r="A1045" s="60" t="n"/>
      <c r="B1045" s="65">
        <f>IF(A1045="","",IFERROR(INDEX(Bestand!$B$14:$B$213,MATCH(A1045,Bestand!$A$14:$A$213,0)),"ID unbekannt"))</f>
        <v/>
      </c>
      <c r="C1045" s="63" t="n"/>
      <c r="D1045" s="61" t="n"/>
      <c r="E1045" s="60" t="n"/>
      <c r="F1045" s="61" t="n"/>
    </row>
    <row r="1046">
      <c r="A1046" s="60" t="n"/>
      <c r="B1046" s="65">
        <f>IF(A1046="","",IFERROR(INDEX(Bestand!$B$14:$B$213,MATCH(A1046,Bestand!$A$14:$A$213,0)),"ID unbekannt"))</f>
        <v/>
      </c>
      <c r="C1046" s="63" t="n"/>
      <c r="D1046" s="61" t="n"/>
      <c r="E1046" s="60" t="n"/>
      <c r="F1046" s="61" t="n"/>
    </row>
    <row r="1047">
      <c r="A1047" s="60" t="n"/>
      <c r="B1047" s="65">
        <f>IF(A1047="","",IFERROR(INDEX(Bestand!$B$14:$B$213,MATCH(A1047,Bestand!$A$14:$A$213,0)),"ID unbekannt"))</f>
        <v/>
      </c>
      <c r="C1047" s="63" t="n"/>
      <c r="D1047" s="61" t="n"/>
      <c r="E1047" s="60" t="n"/>
      <c r="F1047" s="61" t="n"/>
    </row>
    <row r="1048">
      <c r="A1048" s="60" t="n"/>
      <c r="B1048" s="65">
        <f>IF(A1048="","",IFERROR(INDEX(Bestand!$B$14:$B$213,MATCH(A1048,Bestand!$A$14:$A$213,0)),"ID unbekannt"))</f>
        <v/>
      </c>
      <c r="C1048" s="63" t="n"/>
      <c r="D1048" s="61" t="n"/>
      <c r="E1048" s="60" t="n"/>
      <c r="F1048" s="61" t="n"/>
    </row>
    <row r="1049">
      <c r="A1049" s="60" t="n"/>
      <c r="B1049" s="65">
        <f>IF(A1049="","",IFERROR(INDEX(Bestand!$B$14:$B$213,MATCH(A1049,Bestand!$A$14:$A$213,0)),"ID unbekannt"))</f>
        <v/>
      </c>
      <c r="C1049" s="63" t="n"/>
      <c r="D1049" s="61" t="n"/>
      <c r="E1049" s="60" t="n"/>
      <c r="F1049" s="61" t="n"/>
    </row>
    <row r="1050">
      <c r="A1050" s="60" t="n"/>
      <c r="B1050" s="65">
        <f>IF(A1050="","",IFERROR(INDEX(Bestand!$B$14:$B$213,MATCH(A1050,Bestand!$A$14:$A$213,0)),"ID unbekannt"))</f>
        <v/>
      </c>
      <c r="C1050" s="63" t="n"/>
      <c r="D1050" s="61" t="n"/>
      <c r="E1050" s="60" t="n"/>
      <c r="F1050" s="61" t="n"/>
    </row>
    <row r="1051">
      <c r="A1051" s="60" t="n"/>
      <c r="B1051" s="65">
        <f>IF(A1051="","",IFERROR(INDEX(Bestand!$B$14:$B$213,MATCH(A1051,Bestand!$A$14:$A$213,0)),"ID unbekannt"))</f>
        <v/>
      </c>
      <c r="C1051" s="63" t="n"/>
      <c r="D1051" s="61" t="n"/>
      <c r="E1051" s="60" t="n"/>
      <c r="F1051" s="61" t="n"/>
    </row>
    <row r="1052">
      <c r="A1052" s="60" t="n"/>
      <c r="B1052" s="65">
        <f>IF(A1052="","",IFERROR(INDEX(Bestand!$B$14:$B$213,MATCH(A1052,Bestand!$A$14:$A$213,0)),"ID unbekannt"))</f>
        <v/>
      </c>
      <c r="C1052" s="63" t="n"/>
      <c r="D1052" s="61" t="n"/>
      <c r="E1052" s="60" t="n"/>
      <c r="F1052" s="61" t="n"/>
    </row>
    <row r="1053">
      <c r="A1053" s="60" t="n"/>
      <c r="B1053" s="65">
        <f>IF(A1053="","",IFERROR(INDEX(Bestand!$B$14:$B$213,MATCH(A1053,Bestand!$A$14:$A$213,0)),"ID unbekannt"))</f>
        <v/>
      </c>
      <c r="C1053" s="63" t="n"/>
      <c r="D1053" s="61" t="n"/>
      <c r="E1053" s="60" t="n"/>
      <c r="F1053" s="61" t="n"/>
    </row>
    <row r="1054">
      <c r="A1054" s="60" t="n"/>
      <c r="B1054" s="65">
        <f>IF(A1054="","",IFERROR(INDEX(Bestand!$B$14:$B$213,MATCH(A1054,Bestand!$A$14:$A$213,0)),"ID unbekannt"))</f>
        <v/>
      </c>
      <c r="C1054" s="63" t="n"/>
      <c r="D1054" s="61" t="n"/>
      <c r="E1054" s="60" t="n"/>
      <c r="F1054" s="61" t="n"/>
    </row>
    <row r="1055">
      <c r="A1055" s="60" t="n"/>
      <c r="B1055" s="65">
        <f>IF(A1055="","",IFERROR(INDEX(Bestand!$B$14:$B$213,MATCH(A1055,Bestand!$A$14:$A$213,0)),"ID unbekannt"))</f>
        <v/>
      </c>
      <c r="C1055" s="63" t="n"/>
      <c r="D1055" s="61" t="n"/>
      <c r="E1055" s="60" t="n"/>
      <c r="F1055" s="61" t="n"/>
    </row>
    <row r="1056">
      <c r="A1056" s="60" t="n"/>
      <c r="B1056" s="65">
        <f>IF(A1056="","",IFERROR(INDEX(Bestand!$B$14:$B$213,MATCH(A1056,Bestand!$A$14:$A$213,0)),"ID unbekannt"))</f>
        <v/>
      </c>
      <c r="C1056" s="63" t="n"/>
      <c r="D1056" s="61" t="n"/>
      <c r="E1056" s="60" t="n"/>
      <c r="F1056" s="61" t="n"/>
    </row>
    <row r="1057">
      <c r="A1057" s="60" t="n"/>
      <c r="B1057" s="65">
        <f>IF(A1057="","",IFERROR(INDEX(Bestand!$B$14:$B$213,MATCH(A1057,Bestand!$A$14:$A$213,0)),"ID unbekannt"))</f>
        <v/>
      </c>
      <c r="C1057" s="63" t="n"/>
      <c r="D1057" s="61" t="n"/>
      <c r="E1057" s="60" t="n"/>
      <c r="F1057" s="61" t="n"/>
    </row>
    <row r="1058">
      <c r="A1058" s="60" t="n"/>
      <c r="B1058" s="65">
        <f>IF(A1058="","",IFERROR(INDEX(Bestand!$B$14:$B$213,MATCH(A1058,Bestand!$A$14:$A$213,0)),"ID unbekannt"))</f>
        <v/>
      </c>
      <c r="C1058" s="63" t="n"/>
      <c r="D1058" s="61" t="n"/>
      <c r="E1058" s="60" t="n"/>
      <c r="F1058" s="61" t="n"/>
    </row>
    <row r="1059">
      <c r="A1059" s="60" t="n"/>
      <c r="B1059" s="65">
        <f>IF(A1059="","",IFERROR(INDEX(Bestand!$B$14:$B$213,MATCH(A1059,Bestand!$A$14:$A$213,0)),"ID unbekannt"))</f>
        <v/>
      </c>
      <c r="C1059" s="63" t="n"/>
      <c r="D1059" s="61" t="n"/>
      <c r="E1059" s="60" t="n"/>
      <c r="F1059" s="61" t="n"/>
    </row>
    <row r="1060">
      <c r="A1060" s="60" t="n"/>
      <c r="B1060" s="65">
        <f>IF(A1060="","",IFERROR(INDEX(Bestand!$B$14:$B$213,MATCH(A1060,Bestand!$A$14:$A$213,0)),"ID unbekannt"))</f>
        <v/>
      </c>
      <c r="C1060" s="63" t="n"/>
      <c r="D1060" s="61" t="n"/>
      <c r="E1060" s="60" t="n"/>
      <c r="F1060" s="61" t="n"/>
    </row>
    <row r="1061">
      <c r="A1061" s="60" t="n"/>
      <c r="B1061" s="65">
        <f>IF(A1061="","",IFERROR(INDEX(Bestand!$B$14:$B$213,MATCH(A1061,Bestand!$A$14:$A$213,0)),"ID unbekannt"))</f>
        <v/>
      </c>
      <c r="C1061" s="63" t="n"/>
      <c r="D1061" s="61" t="n"/>
      <c r="E1061" s="60" t="n"/>
      <c r="F1061" s="61" t="n"/>
    </row>
    <row r="1062">
      <c r="A1062" s="60" t="n"/>
      <c r="B1062" s="65">
        <f>IF(A1062="","",IFERROR(INDEX(Bestand!$B$14:$B$213,MATCH(A1062,Bestand!$A$14:$A$213,0)),"ID unbekannt"))</f>
        <v/>
      </c>
      <c r="C1062" s="63" t="n"/>
      <c r="D1062" s="61" t="n"/>
      <c r="E1062" s="60" t="n"/>
      <c r="F1062" s="61" t="n"/>
    </row>
    <row r="1063">
      <c r="A1063" s="60" t="n"/>
      <c r="B1063" s="65">
        <f>IF(A1063="","",IFERROR(INDEX(Bestand!$B$14:$B$213,MATCH(A1063,Bestand!$A$14:$A$213,0)),"ID unbekannt"))</f>
        <v/>
      </c>
      <c r="C1063" s="63" t="n"/>
      <c r="D1063" s="61" t="n"/>
      <c r="E1063" s="60" t="n"/>
      <c r="F1063" s="61" t="n"/>
    </row>
    <row r="1064">
      <c r="A1064" s="60" t="n"/>
      <c r="B1064" s="65">
        <f>IF(A1064="","",IFERROR(INDEX(Bestand!$B$14:$B$213,MATCH(A1064,Bestand!$A$14:$A$213,0)),"ID unbekannt"))</f>
        <v/>
      </c>
      <c r="C1064" s="63" t="n"/>
      <c r="D1064" s="61" t="n"/>
      <c r="E1064" s="60" t="n"/>
      <c r="F1064" s="61" t="n"/>
    </row>
    <row r="1065">
      <c r="A1065" s="60" t="n"/>
      <c r="B1065" s="65">
        <f>IF(A1065="","",IFERROR(INDEX(Bestand!$B$14:$B$213,MATCH(A1065,Bestand!$A$14:$A$213,0)),"ID unbekannt"))</f>
        <v/>
      </c>
      <c r="C1065" s="63" t="n"/>
      <c r="D1065" s="61" t="n"/>
      <c r="E1065" s="60" t="n"/>
      <c r="F1065" s="61" t="n"/>
    </row>
    <row r="1066">
      <c r="A1066" s="60" t="n"/>
      <c r="B1066" s="65">
        <f>IF(A1066="","",IFERROR(INDEX(Bestand!$B$14:$B$213,MATCH(A1066,Bestand!$A$14:$A$213,0)),"ID unbekannt"))</f>
        <v/>
      </c>
      <c r="C1066" s="63" t="n"/>
      <c r="D1066" s="61" t="n"/>
      <c r="E1066" s="60" t="n"/>
      <c r="F1066" s="61" t="n"/>
    </row>
    <row r="1067">
      <c r="A1067" s="60" t="n"/>
      <c r="B1067" s="65">
        <f>IF(A1067="","",IFERROR(INDEX(Bestand!$B$14:$B$213,MATCH(A1067,Bestand!$A$14:$A$213,0)),"ID unbekannt"))</f>
        <v/>
      </c>
      <c r="C1067" s="63" t="n"/>
      <c r="D1067" s="61" t="n"/>
      <c r="E1067" s="60" t="n"/>
      <c r="F1067" s="61" t="n"/>
    </row>
    <row r="1068">
      <c r="A1068" s="60" t="n"/>
      <c r="B1068" s="65">
        <f>IF(A1068="","",IFERROR(INDEX(Bestand!$B$14:$B$213,MATCH(A1068,Bestand!$A$14:$A$213,0)),"ID unbekannt"))</f>
        <v/>
      </c>
      <c r="C1068" s="63" t="n"/>
      <c r="D1068" s="61" t="n"/>
      <c r="E1068" s="60" t="n"/>
      <c r="F1068" s="61" t="n"/>
    </row>
    <row r="1069">
      <c r="A1069" s="60" t="n"/>
      <c r="B1069" s="65">
        <f>IF(A1069="","",IFERROR(INDEX(Bestand!$B$14:$B$213,MATCH(A1069,Bestand!$A$14:$A$213,0)),"ID unbekannt"))</f>
        <v/>
      </c>
      <c r="C1069" s="63" t="n"/>
      <c r="D1069" s="61" t="n"/>
      <c r="E1069" s="60" t="n"/>
      <c r="F1069" s="61" t="n"/>
    </row>
    <row r="1070">
      <c r="A1070" s="60" t="n"/>
      <c r="B1070" s="65">
        <f>IF(A1070="","",IFERROR(INDEX(Bestand!$B$14:$B$213,MATCH(A1070,Bestand!$A$14:$A$213,0)),"ID unbekannt"))</f>
        <v/>
      </c>
      <c r="C1070" s="63" t="n"/>
      <c r="D1070" s="61" t="n"/>
      <c r="E1070" s="60" t="n"/>
      <c r="F1070" s="61" t="n"/>
    </row>
    <row r="1071">
      <c r="A1071" s="60" t="n"/>
      <c r="B1071" s="65">
        <f>IF(A1071="","",IFERROR(INDEX(Bestand!$B$14:$B$213,MATCH(A1071,Bestand!$A$14:$A$213,0)),"ID unbekannt"))</f>
        <v/>
      </c>
      <c r="C1071" s="63" t="n"/>
      <c r="D1071" s="61" t="n"/>
      <c r="E1071" s="60" t="n"/>
      <c r="F1071" s="61" t="n"/>
    </row>
    <row r="1072">
      <c r="A1072" s="60" t="n"/>
      <c r="B1072" s="65">
        <f>IF(A1072="","",IFERROR(INDEX(Bestand!$B$14:$B$213,MATCH(A1072,Bestand!$A$14:$A$213,0)),"ID unbekannt"))</f>
        <v/>
      </c>
      <c r="C1072" s="63" t="n"/>
      <c r="D1072" s="61" t="n"/>
      <c r="E1072" s="60" t="n"/>
      <c r="F1072" s="61" t="n"/>
    </row>
    <row r="1073">
      <c r="A1073" s="60" t="n"/>
      <c r="B1073" s="65">
        <f>IF(A1073="","",IFERROR(INDEX(Bestand!$B$14:$B$213,MATCH(A1073,Bestand!$A$14:$A$213,0)),"ID unbekannt"))</f>
        <v/>
      </c>
      <c r="C1073" s="63" t="n"/>
      <c r="D1073" s="61" t="n"/>
      <c r="E1073" s="60" t="n"/>
      <c r="F1073" s="61" t="n"/>
    </row>
    <row r="1074">
      <c r="A1074" s="60" t="n"/>
      <c r="B1074" s="65">
        <f>IF(A1074="","",IFERROR(INDEX(Bestand!$B$14:$B$213,MATCH(A1074,Bestand!$A$14:$A$213,0)),"ID unbekannt"))</f>
        <v/>
      </c>
      <c r="C1074" s="63" t="n"/>
      <c r="D1074" s="61" t="n"/>
      <c r="E1074" s="60" t="n"/>
      <c r="F1074" s="61" t="n"/>
    </row>
    <row r="1075">
      <c r="A1075" s="60" t="n"/>
      <c r="B1075" s="65">
        <f>IF(A1075="","",IFERROR(INDEX(Bestand!$B$14:$B$213,MATCH(A1075,Bestand!$A$14:$A$213,0)),"ID unbekannt"))</f>
        <v/>
      </c>
      <c r="C1075" s="63" t="n"/>
      <c r="D1075" s="61" t="n"/>
      <c r="E1075" s="60" t="n"/>
      <c r="F1075" s="61" t="n"/>
    </row>
    <row r="1076">
      <c r="A1076" s="60" t="n"/>
      <c r="B1076" s="65">
        <f>IF(A1076="","",IFERROR(INDEX(Bestand!$B$14:$B$213,MATCH(A1076,Bestand!$A$14:$A$213,0)),"ID unbekannt"))</f>
        <v/>
      </c>
      <c r="C1076" s="63" t="n"/>
      <c r="D1076" s="61" t="n"/>
      <c r="E1076" s="60" t="n"/>
      <c r="F1076" s="61" t="n"/>
    </row>
    <row r="1077">
      <c r="A1077" s="60" t="n"/>
      <c r="B1077" s="65">
        <f>IF(A1077="","",IFERROR(INDEX(Bestand!$B$14:$B$213,MATCH(A1077,Bestand!$A$14:$A$213,0)),"ID unbekannt"))</f>
        <v/>
      </c>
      <c r="C1077" s="63" t="n"/>
      <c r="D1077" s="61" t="n"/>
      <c r="E1077" s="60" t="n"/>
      <c r="F1077" s="61" t="n"/>
    </row>
    <row r="1078">
      <c r="A1078" s="60" t="n"/>
      <c r="B1078" s="65">
        <f>IF(A1078="","",IFERROR(INDEX(Bestand!$B$14:$B$213,MATCH(A1078,Bestand!$A$14:$A$213,0)),"ID unbekannt"))</f>
        <v/>
      </c>
      <c r="C1078" s="63" t="n"/>
      <c r="D1078" s="61" t="n"/>
      <c r="E1078" s="60" t="n"/>
      <c r="F1078" s="61" t="n"/>
    </row>
    <row r="1079">
      <c r="A1079" s="60" t="n"/>
      <c r="B1079" s="65">
        <f>IF(A1079="","",IFERROR(INDEX(Bestand!$B$14:$B$213,MATCH(A1079,Bestand!$A$14:$A$213,0)),"ID unbekannt"))</f>
        <v/>
      </c>
      <c r="C1079" s="63" t="n"/>
      <c r="D1079" s="61" t="n"/>
      <c r="E1079" s="60" t="n"/>
      <c r="F1079" s="61" t="n"/>
    </row>
    <row r="1080">
      <c r="A1080" s="60" t="n"/>
      <c r="B1080" s="65">
        <f>IF(A1080="","",IFERROR(INDEX(Bestand!$B$14:$B$213,MATCH(A1080,Bestand!$A$14:$A$213,0)),"ID unbekannt"))</f>
        <v/>
      </c>
      <c r="C1080" s="63" t="n"/>
      <c r="D1080" s="61" t="n"/>
      <c r="E1080" s="60" t="n"/>
      <c r="F1080" s="61" t="n"/>
    </row>
    <row r="1081">
      <c r="A1081" s="60" t="n"/>
      <c r="B1081" s="65">
        <f>IF(A1081="","",IFERROR(INDEX(Bestand!$B$14:$B$213,MATCH(A1081,Bestand!$A$14:$A$213,0)),"ID unbekannt"))</f>
        <v/>
      </c>
      <c r="C1081" s="63" t="n"/>
      <c r="D1081" s="61" t="n"/>
      <c r="E1081" s="60" t="n"/>
      <c r="F1081" s="61" t="n"/>
    </row>
    <row r="1082">
      <c r="A1082" s="60" t="n"/>
      <c r="B1082" s="65">
        <f>IF(A1082="","",IFERROR(INDEX(Bestand!$B$14:$B$213,MATCH(A1082,Bestand!$A$14:$A$213,0)),"ID unbekannt"))</f>
        <v/>
      </c>
      <c r="C1082" s="63" t="n"/>
      <c r="D1082" s="61" t="n"/>
      <c r="E1082" s="60" t="n"/>
      <c r="F1082" s="61" t="n"/>
    </row>
    <row r="1083">
      <c r="A1083" s="60" t="n"/>
      <c r="B1083" s="65">
        <f>IF(A1083="","",IFERROR(INDEX(Bestand!$B$14:$B$213,MATCH(A1083,Bestand!$A$14:$A$213,0)),"ID unbekannt"))</f>
        <v/>
      </c>
      <c r="C1083" s="63" t="n"/>
      <c r="D1083" s="61" t="n"/>
      <c r="E1083" s="60" t="n"/>
      <c r="F1083" s="61" t="n"/>
    </row>
    <row r="1084">
      <c r="A1084" s="60" t="n"/>
      <c r="B1084" s="65">
        <f>IF(A1084="","",IFERROR(INDEX(Bestand!$B$14:$B$213,MATCH(A1084,Bestand!$A$14:$A$213,0)),"ID unbekannt"))</f>
        <v/>
      </c>
      <c r="C1084" s="63" t="n"/>
      <c r="D1084" s="61" t="n"/>
      <c r="E1084" s="60" t="n"/>
      <c r="F1084" s="61" t="n"/>
    </row>
    <row r="1085">
      <c r="A1085" s="60" t="n"/>
      <c r="B1085" s="65">
        <f>IF(A1085="","",IFERROR(INDEX(Bestand!$B$14:$B$213,MATCH(A1085,Bestand!$A$14:$A$213,0)),"ID unbekannt"))</f>
        <v/>
      </c>
      <c r="C1085" s="63" t="n"/>
      <c r="D1085" s="61" t="n"/>
      <c r="E1085" s="60" t="n"/>
      <c r="F1085" s="61" t="n"/>
    </row>
    <row r="1086">
      <c r="A1086" s="60" t="n"/>
      <c r="B1086" s="65">
        <f>IF(A1086="","",IFERROR(INDEX(Bestand!$B$14:$B$213,MATCH(A1086,Bestand!$A$14:$A$213,0)),"ID unbekannt"))</f>
        <v/>
      </c>
      <c r="C1086" s="63" t="n"/>
      <c r="D1086" s="61" t="n"/>
      <c r="E1086" s="60" t="n"/>
      <c r="F1086" s="61" t="n"/>
    </row>
    <row r="1087">
      <c r="A1087" s="60" t="n"/>
      <c r="B1087" s="65">
        <f>IF(A1087="","",IFERROR(INDEX(Bestand!$B$14:$B$213,MATCH(A1087,Bestand!$A$14:$A$213,0)),"ID unbekannt"))</f>
        <v/>
      </c>
      <c r="C1087" s="63" t="n"/>
      <c r="D1087" s="61" t="n"/>
      <c r="E1087" s="60" t="n"/>
      <c r="F1087" s="61" t="n"/>
    </row>
    <row r="1088">
      <c r="A1088" s="60" t="n"/>
      <c r="B1088" s="65">
        <f>IF(A1088="","",IFERROR(INDEX(Bestand!$B$14:$B$213,MATCH(A1088,Bestand!$A$14:$A$213,0)),"ID unbekannt"))</f>
        <v/>
      </c>
      <c r="C1088" s="63" t="n"/>
      <c r="D1088" s="61" t="n"/>
      <c r="E1088" s="60" t="n"/>
      <c r="F1088" s="61" t="n"/>
    </row>
    <row r="1089">
      <c r="A1089" s="60" t="n"/>
      <c r="B1089" s="65">
        <f>IF(A1089="","",IFERROR(INDEX(Bestand!$B$14:$B$213,MATCH(A1089,Bestand!$A$14:$A$213,0)),"ID unbekannt"))</f>
        <v/>
      </c>
      <c r="C1089" s="63" t="n"/>
      <c r="D1089" s="61" t="n"/>
      <c r="E1089" s="60" t="n"/>
      <c r="F1089" s="61" t="n"/>
    </row>
    <row r="1090">
      <c r="A1090" s="60" t="n"/>
      <c r="B1090" s="65">
        <f>IF(A1090="","",IFERROR(INDEX(Bestand!$B$14:$B$213,MATCH(A1090,Bestand!$A$14:$A$213,0)),"ID unbekannt"))</f>
        <v/>
      </c>
      <c r="C1090" s="63" t="n"/>
      <c r="D1090" s="61" t="n"/>
      <c r="E1090" s="60" t="n"/>
      <c r="F1090" s="61" t="n"/>
    </row>
    <row r="1091">
      <c r="A1091" s="60" t="n"/>
      <c r="B1091" s="65">
        <f>IF(A1091="","",IFERROR(INDEX(Bestand!$B$14:$B$213,MATCH(A1091,Bestand!$A$14:$A$213,0)),"ID unbekannt"))</f>
        <v/>
      </c>
      <c r="C1091" s="63" t="n"/>
      <c r="D1091" s="61" t="n"/>
      <c r="E1091" s="60" t="n"/>
      <c r="F1091" s="61" t="n"/>
    </row>
    <row r="1092">
      <c r="A1092" s="60" t="n"/>
      <c r="B1092" s="65">
        <f>IF(A1092="","",IFERROR(INDEX(Bestand!$B$14:$B$213,MATCH(A1092,Bestand!$A$14:$A$213,0)),"ID unbekannt"))</f>
        <v/>
      </c>
      <c r="C1092" s="63" t="n"/>
      <c r="D1092" s="61" t="n"/>
      <c r="E1092" s="60" t="n"/>
      <c r="F1092" s="61" t="n"/>
    </row>
    <row r="1093">
      <c r="A1093" s="60" t="n"/>
      <c r="B1093" s="65">
        <f>IF(A1093="","",IFERROR(INDEX(Bestand!$B$14:$B$213,MATCH(A1093,Bestand!$A$14:$A$213,0)),"ID unbekannt"))</f>
        <v/>
      </c>
      <c r="C1093" s="63" t="n"/>
      <c r="D1093" s="61" t="n"/>
      <c r="E1093" s="60" t="n"/>
      <c r="F1093" s="61" t="n"/>
    </row>
    <row r="1094">
      <c r="A1094" s="60" t="n"/>
      <c r="B1094" s="65">
        <f>IF(A1094="","",IFERROR(INDEX(Bestand!$B$14:$B$213,MATCH(A1094,Bestand!$A$14:$A$213,0)),"ID unbekannt"))</f>
        <v/>
      </c>
      <c r="C1094" s="63" t="n"/>
      <c r="D1094" s="61" t="n"/>
      <c r="E1094" s="60" t="n"/>
      <c r="F1094" s="61" t="n"/>
    </row>
    <row r="1095">
      <c r="A1095" s="60" t="n"/>
      <c r="B1095" s="65">
        <f>IF(A1095="","",IFERROR(INDEX(Bestand!$B$14:$B$213,MATCH(A1095,Bestand!$A$14:$A$213,0)),"ID unbekannt"))</f>
        <v/>
      </c>
      <c r="C1095" s="63" t="n"/>
      <c r="D1095" s="61" t="n"/>
      <c r="E1095" s="60" t="n"/>
      <c r="F1095" s="61" t="n"/>
    </row>
    <row r="1096">
      <c r="A1096" s="60" t="n"/>
      <c r="B1096" s="65">
        <f>IF(A1096="","",IFERROR(INDEX(Bestand!$B$14:$B$213,MATCH(A1096,Bestand!$A$14:$A$213,0)),"ID unbekannt"))</f>
        <v/>
      </c>
      <c r="C1096" s="63" t="n"/>
      <c r="D1096" s="61" t="n"/>
      <c r="E1096" s="60" t="n"/>
      <c r="F1096" s="61" t="n"/>
    </row>
    <row r="1097">
      <c r="A1097" s="60" t="n"/>
      <c r="B1097" s="65">
        <f>IF(A1097="","",IFERROR(INDEX(Bestand!$B$14:$B$213,MATCH(A1097,Bestand!$A$14:$A$213,0)),"ID unbekannt"))</f>
        <v/>
      </c>
      <c r="C1097" s="63" t="n"/>
      <c r="D1097" s="61" t="n"/>
      <c r="E1097" s="60" t="n"/>
      <c r="F1097" s="61" t="n"/>
    </row>
    <row r="1098">
      <c r="A1098" s="60" t="n"/>
      <c r="B1098" s="65">
        <f>IF(A1098="","",IFERROR(INDEX(Bestand!$B$14:$B$213,MATCH(A1098,Bestand!$A$14:$A$213,0)),"ID unbekannt"))</f>
        <v/>
      </c>
      <c r="C1098" s="63" t="n"/>
      <c r="D1098" s="61" t="n"/>
      <c r="E1098" s="60" t="n"/>
      <c r="F1098" s="61" t="n"/>
    </row>
    <row r="1099">
      <c r="A1099" s="60" t="n"/>
      <c r="B1099" s="65">
        <f>IF(A1099="","",IFERROR(INDEX(Bestand!$B$14:$B$213,MATCH(A1099,Bestand!$A$14:$A$213,0)),"ID unbekannt"))</f>
        <v/>
      </c>
      <c r="C1099" s="63" t="n"/>
      <c r="D1099" s="61" t="n"/>
      <c r="E1099" s="60" t="n"/>
      <c r="F1099" s="61" t="n"/>
    </row>
    <row r="1100">
      <c r="A1100" s="60" t="n"/>
      <c r="B1100" s="65">
        <f>IF(A1100="","",IFERROR(INDEX(Bestand!$B$14:$B$213,MATCH(A1100,Bestand!$A$14:$A$213,0)),"ID unbekannt"))</f>
        <v/>
      </c>
      <c r="C1100" s="63" t="n"/>
      <c r="D1100" s="61" t="n"/>
      <c r="E1100" s="60" t="n"/>
      <c r="F1100" s="61" t="n"/>
    </row>
    <row r="1101">
      <c r="A1101" s="60" t="n"/>
      <c r="B1101" s="65">
        <f>IF(A1101="","",IFERROR(INDEX(Bestand!$B$14:$B$213,MATCH(A1101,Bestand!$A$14:$A$213,0)),"ID unbekannt"))</f>
        <v/>
      </c>
      <c r="C1101" s="63" t="n"/>
      <c r="D1101" s="61" t="n"/>
      <c r="E1101" s="60" t="n"/>
      <c r="F1101" s="61" t="n"/>
    </row>
    <row r="1102">
      <c r="A1102" s="60" t="n"/>
      <c r="B1102" s="65">
        <f>IF(A1102="","",IFERROR(INDEX(Bestand!$B$14:$B$213,MATCH(A1102,Bestand!$A$14:$A$213,0)),"ID unbekannt"))</f>
        <v/>
      </c>
      <c r="C1102" s="63" t="n"/>
      <c r="D1102" s="61" t="n"/>
      <c r="E1102" s="60" t="n"/>
      <c r="F1102" s="61" t="n"/>
    </row>
    <row r="1103">
      <c r="A1103" s="60" t="n"/>
      <c r="B1103" s="65">
        <f>IF(A1103="","",IFERROR(INDEX(Bestand!$B$14:$B$213,MATCH(A1103,Bestand!$A$14:$A$213,0)),"ID unbekannt"))</f>
        <v/>
      </c>
      <c r="C1103" s="63" t="n"/>
      <c r="D1103" s="61" t="n"/>
      <c r="E1103" s="60" t="n"/>
      <c r="F1103" s="61" t="n"/>
    </row>
    <row r="1104">
      <c r="A1104" s="60" t="n"/>
      <c r="B1104" s="65">
        <f>IF(A1104="","",IFERROR(INDEX(Bestand!$B$14:$B$213,MATCH(A1104,Bestand!$A$14:$A$213,0)),"ID unbekannt"))</f>
        <v/>
      </c>
      <c r="C1104" s="63" t="n"/>
      <c r="D1104" s="61" t="n"/>
      <c r="E1104" s="60" t="n"/>
      <c r="F1104" s="61" t="n"/>
    </row>
    <row r="1105">
      <c r="A1105" s="60" t="n"/>
      <c r="B1105" s="65">
        <f>IF(A1105="","",IFERROR(INDEX(Bestand!$B$14:$B$213,MATCH(A1105,Bestand!$A$14:$A$213,0)),"ID unbekannt"))</f>
        <v/>
      </c>
      <c r="C1105" s="63" t="n"/>
      <c r="D1105" s="61" t="n"/>
      <c r="E1105" s="60" t="n"/>
      <c r="F1105" s="61" t="n"/>
    </row>
    <row r="1106">
      <c r="A1106" s="60" t="n"/>
      <c r="B1106" s="65">
        <f>IF(A1106="","",IFERROR(INDEX(Bestand!$B$14:$B$213,MATCH(A1106,Bestand!$A$14:$A$213,0)),"ID unbekannt"))</f>
        <v/>
      </c>
      <c r="C1106" s="63" t="n"/>
      <c r="D1106" s="61" t="n"/>
      <c r="E1106" s="60" t="n"/>
      <c r="F1106" s="61" t="n"/>
    </row>
    <row r="1107">
      <c r="A1107" s="60" t="n"/>
      <c r="B1107" s="65">
        <f>IF(A1107="","",IFERROR(INDEX(Bestand!$B$14:$B$213,MATCH(A1107,Bestand!$A$14:$A$213,0)),"ID unbekannt"))</f>
        <v/>
      </c>
      <c r="C1107" s="63" t="n"/>
      <c r="D1107" s="61" t="n"/>
      <c r="E1107" s="60" t="n"/>
      <c r="F1107" s="61" t="n"/>
    </row>
    <row r="1108">
      <c r="A1108" s="60" t="n"/>
      <c r="B1108" s="65">
        <f>IF(A1108="","",IFERROR(INDEX(Bestand!$B$14:$B$213,MATCH(A1108,Bestand!$A$14:$A$213,0)),"ID unbekannt"))</f>
        <v/>
      </c>
      <c r="C1108" s="63" t="n"/>
      <c r="D1108" s="61" t="n"/>
      <c r="E1108" s="60" t="n"/>
      <c r="F1108" s="61" t="n"/>
    </row>
    <row r="1109">
      <c r="A1109" s="60" t="n"/>
      <c r="B1109" s="65">
        <f>IF(A1109="","",IFERROR(INDEX(Bestand!$B$14:$B$213,MATCH(A1109,Bestand!$A$14:$A$213,0)),"ID unbekannt"))</f>
        <v/>
      </c>
      <c r="C1109" s="63" t="n"/>
      <c r="D1109" s="61" t="n"/>
      <c r="E1109" s="60" t="n"/>
      <c r="F1109" s="61" t="n"/>
    </row>
    <row r="1110">
      <c r="A1110" s="60" t="n"/>
      <c r="B1110" s="65">
        <f>IF(A1110="","",IFERROR(INDEX(Bestand!$B$14:$B$213,MATCH(A1110,Bestand!$A$14:$A$213,0)),"ID unbekannt"))</f>
        <v/>
      </c>
      <c r="C1110" s="63" t="n"/>
      <c r="D1110" s="61" t="n"/>
      <c r="E1110" s="60" t="n"/>
      <c r="F1110" s="61" t="n"/>
    </row>
    <row r="1111">
      <c r="A1111" s="60" t="n"/>
      <c r="B1111" s="65">
        <f>IF(A1111="","",IFERROR(INDEX(Bestand!$B$14:$B$213,MATCH(A1111,Bestand!$A$14:$A$213,0)),"ID unbekannt"))</f>
        <v/>
      </c>
      <c r="C1111" s="63" t="n"/>
      <c r="D1111" s="61" t="n"/>
      <c r="E1111" s="60" t="n"/>
      <c r="F1111" s="61" t="n"/>
    </row>
    <row r="1112">
      <c r="A1112" s="60" t="n"/>
      <c r="B1112" s="65">
        <f>IF(A1112="","",IFERROR(INDEX(Bestand!$B$14:$B$213,MATCH(A1112,Bestand!$A$14:$A$213,0)),"ID unbekannt"))</f>
        <v/>
      </c>
      <c r="C1112" s="63" t="n"/>
      <c r="D1112" s="61" t="n"/>
      <c r="E1112" s="60" t="n"/>
      <c r="F1112" s="61" t="n"/>
    </row>
    <row r="1113">
      <c r="A1113" s="60" t="n"/>
      <c r="B1113" s="65">
        <f>IF(A1113="","",IFERROR(INDEX(Bestand!$B$14:$B$213,MATCH(A1113,Bestand!$A$14:$A$213,0)),"ID unbekannt"))</f>
        <v/>
      </c>
      <c r="C1113" s="63" t="n"/>
      <c r="D1113" s="61" t="n"/>
      <c r="E1113" s="60" t="n"/>
      <c r="F1113" s="61" t="n"/>
    </row>
    <row r="1114">
      <c r="A1114" s="60" t="n"/>
      <c r="B1114" s="65">
        <f>IF(A1114="","",IFERROR(INDEX(Bestand!$B$14:$B$213,MATCH(A1114,Bestand!$A$14:$A$213,0)),"ID unbekannt"))</f>
        <v/>
      </c>
      <c r="C1114" s="63" t="n"/>
      <c r="D1114" s="61" t="n"/>
      <c r="E1114" s="60" t="n"/>
      <c r="F1114" s="61" t="n"/>
    </row>
    <row r="1115">
      <c r="A1115" s="60" t="n"/>
      <c r="B1115" s="65">
        <f>IF(A1115="","",IFERROR(INDEX(Bestand!$B$14:$B$213,MATCH(A1115,Bestand!$A$14:$A$213,0)),"ID unbekannt"))</f>
        <v/>
      </c>
      <c r="C1115" s="63" t="n"/>
      <c r="D1115" s="61" t="n"/>
      <c r="E1115" s="60" t="n"/>
      <c r="F1115" s="61" t="n"/>
    </row>
    <row r="1116">
      <c r="A1116" s="60" t="n"/>
      <c r="B1116" s="65">
        <f>IF(A1116="","",IFERROR(INDEX(Bestand!$B$14:$B$213,MATCH(A1116,Bestand!$A$14:$A$213,0)),"ID unbekannt"))</f>
        <v/>
      </c>
      <c r="C1116" s="63" t="n"/>
      <c r="D1116" s="61" t="n"/>
      <c r="E1116" s="60" t="n"/>
      <c r="F1116" s="61" t="n"/>
    </row>
    <row r="1117">
      <c r="A1117" s="60" t="n"/>
      <c r="B1117" s="65">
        <f>IF(A1117="","",IFERROR(INDEX(Bestand!$B$14:$B$213,MATCH(A1117,Bestand!$A$14:$A$213,0)),"ID unbekannt"))</f>
        <v/>
      </c>
      <c r="C1117" s="63" t="n"/>
      <c r="D1117" s="61" t="n"/>
      <c r="E1117" s="60" t="n"/>
      <c r="F1117" s="61" t="n"/>
    </row>
    <row r="1118">
      <c r="A1118" s="60" t="n"/>
      <c r="B1118" s="65">
        <f>IF(A1118="","",IFERROR(INDEX(Bestand!$B$14:$B$213,MATCH(A1118,Bestand!$A$14:$A$213,0)),"ID unbekannt"))</f>
        <v/>
      </c>
      <c r="C1118" s="63" t="n"/>
      <c r="D1118" s="61" t="n"/>
      <c r="E1118" s="60" t="n"/>
      <c r="F1118" s="61" t="n"/>
    </row>
    <row r="1119">
      <c r="A1119" s="60" t="n"/>
      <c r="B1119" s="65">
        <f>IF(A1119="","",IFERROR(INDEX(Bestand!$B$14:$B$213,MATCH(A1119,Bestand!$A$14:$A$213,0)),"ID unbekannt"))</f>
        <v/>
      </c>
      <c r="C1119" s="63" t="n"/>
      <c r="D1119" s="61" t="n"/>
      <c r="E1119" s="60" t="n"/>
      <c r="F1119" s="61" t="n"/>
    </row>
    <row r="1120">
      <c r="A1120" s="60" t="n"/>
      <c r="B1120" s="65">
        <f>IF(A1120="","",IFERROR(INDEX(Bestand!$B$14:$B$213,MATCH(A1120,Bestand!$A$14:$A$213,0)),"ID unbekannt"))</f>
        <v/>
      </c>
      <c r="C1120" s="63" t="n"/>
      <c r="D1120" s="61" t="n"/>
      <c r="E1120" s="60" t="n"/>
      <c r="F1120" s="61" t="n"/>
    </row>
    <row r="1121">
      <c r="A1121" s="60" t="n"/>
      <c r="B1121" s="65">
        <f>IF(A1121="","",IFERROR(INDEX(Bestand!$B$14:$B$213,MATCH(A1121,Bestand!$A$14:$A$213,0)),"ID unbekannt"))</f>
        <v/>
      </c>
      <c r="C1121" s="63" t="n"/>
      <c r="D1121" s="61" t="n"/>
      <c r="E1121" s="60" t="n"/>
      <c r="F1121" s="61" t="n"/>
    </row>
    <row r="1122">
      <c r="A1122" s="60" t="n"/>
      <c r="B1122" s="65">
        <f>IF(A1122="","",IFERROR(INDEX(Bestand!$B$14:$B$213,MATCH(A1122,Bestand!$A$14:$A$213,0)),"ID unbekannt"))</f>
        <v/>
      </c>
      <c r="C1122" s="63" t="n"/>
      <c r="D1122" s="61" t="n"/>
      <c r="E1122" s="60" t="n"/>
      <c r="F1122" s="61" t="n"/>
    </row>
    <row r="1123">
      <c r="A1123" s="60" t="n"/>
      <c r="B1123" s="65">
        <f>IF(A1123="","",IFERROR(INDEX(Bestand!$B$14:$B$213,MATCH(A1123,Bestand!$A$14:$A$213,0)),"ID unbekannt"))</f>
        <v/>
      </c>
      <c r="C1123" s="63" t="n"/>
      <c r="D1123" s="61" t="n"/>
      <c r="E1123" s="60" t="n"/>
      <c r="F1123" s="61" t="n"/>
    </row>
    <row r="1124">
      <c r="A1124" s="60" t="n"/>
      <c r="B1124" s="65">
        <f>IF(A1124="","",IFERROR(INDEX(Bestand!$B$14:$B$213,MATCH(A1124,Bestand!$A$14:$A$213,0)),"ID unbekannt"))</f>
        <v/>
      </c>
      <c r="C1124" s="63" t="n"/>
      <c r="D1124" s="61" t="n"/>
      <c r="E1124" s="60" t="n"/>
      <c r="F1124" s="61" t="n"/>
    </row>
    <row r="1125">
      <c r="A1125" s="60" t="n"/>
      <c r="B1125" s="65">
        <f>IF(A1125="","",IFERROR(INDEX(Bestand!$B$14:$B$213,MATCH(A1125,Bestand!$A$14:$A$213,0)),"ID unbekannt"))</f>
        <v/>
      </c>
      <c r="C1125" s="63" t="n"/>
      <c r="D1125" s="61" t="n"/>
      <c r="E1125" s="60" t="n"/>
      <c r="F1125" s="61" t="n"/>
    </row>
    <row r="1126">
      <c r="A1126" s="60" t="n"/>
      <c r="B1126" s="65">
        <f>IF(A1126="","",IFERROR(INDEX(Bestand!$B$14:$B$213,MATCH(A1126,Bestand!$A$14:$A$213,0)),"ID unbekannt"))</f>
        <v/>
      </c>
      <c r="C1126" s="63" t="n"/>
      <c r="D1126" s="61" t="n"/>
      <c r="E1126" s="60" t="n"/>
      <c r="F1126" s="61" t="n"/>
    </row>
    <row r="1127">
      <c r="A1127" s="60" t="n"/>
      <c r="B1127" s="65">
        <f>IF(A1127="","",IFERROR(INDEX(Bestand!$B$14:$B$213,MATCH(A1127,Bestand!$A$14:$A$213,0)),"ID unbekannt"))</f>
        <v/>
      </c>
      <c r="C1127" s="63" t="n"/>
      <c r="D1127" s="61" t="n"/>
      <c r="E1127" s="60" t="n"/>
      <c r="F1127" s="61" t="n"/>
    </row>
    <row r="1128">
      <c r="A1128" s="60" t="n"/>
      <c r="B1128" s="65">
        <f>IF(A1128="","",IFERROR(INDEX(Bestand!$B$14:$B$213,MATCH(A1128,Bestand!$A$14:$A$213,0)),"ID unbekannt"))</f>
        <v/>
      </c>
      <c r="C1128" s="63" t="n"/>
      <c r="D1128" s="61" t="n"/>
      <c r="E1128" s="60" t="n"/>
      <c r="F1128" s="61" t="n"/>
    </row>
    <row r="1129">
      <c r="A1129" s="60" t="n"/>
      <c r="B1129" s="65">
        <f>IF(A1129="","",IFERROR(INDEX(Bestand!$B$14:$B$213,MATCH(A1129,Bestand!$A$14:$A$213,0)),"ID unbekannt"))</f>
        <v/>
      </c>
      <c r="C1129" s="63" t="n"/>
      <c r="D1129" s="61" t="n"/>
      <c r="E1129" s="60" t="n"/>
      <c r="F1129" s="61" t="n"/>
    </row>
    <row r="1130">
      <c r="A1130" s="60" t="n"/>
      <c r="B1130" s="65">
        <f>IF(A1130="","",IFERROR(INDEX(Bestand!$B$14:$B$213,MATCH(A1130,Bestand!$A$14:$A$213,0)),"ID unbekannt"))</f>
        <v/>
      </c>
      <c r="C1130" s="63" t="n"/>
      <c r="D1130" s="61" t="n"/>
      <c r="E1130" s="60" t="n"/>
      <c r="F1130" s="61" t="n"/>
    </row>
    <row r="1131">
      <c r="A1131" s="60" t="n"/>
      <c r="B1131" s="65">
        <f>IF(A1131="","",IFERROR(INDEX(Bestand!$B$14:$B$213,MATCH(A1131,Bestand!$A$14:$A$213,0)),"ID unbekannt"))</f>
        <v/>
      </c>
      <c r="C1131" s="63" t="n"/>
      <c r="D1131" s="61" t="n"/>
      <c r="E1131" s="60" t="n"/>
      <c r="F1131" s="61" t="n"/>
    </row>
    <row r="1132">
      <c r="A1132" s="60" t="n"/>
      <c r="B1132" s="65">
        <f>IF(A1132="","",IFERROR(INDEX(Bestand!$B$14:$B$213,MATCH(A1132,Bestand!$A$14:$A$213,0)),"ID unbekannt"))</f>
        <v/>
      </c>
      <c r="C1132" s="63" t="n"/>
      <c r="D1132" s="61" t="n"/>
      <c r="E1132" s="60" t="n"/>
      <c r="F1132" s="61" t="n"/>
    </row>
    <row r="1133">
      <c r="A1133" s="60" t="n"/>
      <c r="B1133" s="65">
        <f>IF(A1133="","",IFERROR(INDEX(Bestand!$B$14:$B$213,MATCH(A1133,Bestand!$A$14:$A$213,0)),"ID unbekannt"))</f>
        <v/>
      </c>
      <c r="C1133" s="63" t="n"/>
      <c r="D1133" s="61" t="n"/>
      <c r="E1133" s="60" t="n"/>
      <c r="F1133" s="61" t="n"/>
    </row>
    <row r="1134">
      <c r="A1134" s="60" t="n"/>
      <c r="B1134" s="65">
        <f>IF(A1134="","",IFERROR(INDEX(Bestand!$B$14:$B$213,MATCH(A1134,Bestand!$A$14:$A$213,0)),"ID unbekannt"))</f>
        <v/>
      </c>
      <c r="C1134" s="63" t="n"/>
      <c r="D1134" s="61" t="n"/>
      <c r="E1134" s="60" t="n"/>
      <c r="F1134" s="61" t="n"/>
    </row>
    <row r="1135">
      <c r="A1135" s="60" t="n"/>
      <c r="B1135" s="65">
        <f>IF(A1135="","",IFERROR(INDEX(Bestand!$B$14:$B$213,MATCH(A1135,Bestand!$A$14:$A$213,0)),"ID unbekannt"))</f>
        <v/>
      </c>
      <c r="C1135" s="63" t="n"/>
      <c r="D1135" s="61" t="n"/>
      <c r="E1135" s="60" t="n"/>
      <c r="F1135" s="61" t="n"/>
    </row>
    <row r="1136">
      <c r="A1136" s="60" t="n"/>
      <c r="B1136" s="65">
        <f>IF(A1136="","",IFERROR(INDEX(Bestand!$B$14:$B$213,MATCH(A1136,Bestand!$A$14:$A$213,0)),"ID unbekannt"))</f>
        <v/>
      </c>
      <c r="C1136" s="63" t="n"/>
      <c r="D1136" s="61" t="n"/>
      <c r="E1136" s="60" t="n"/>
      <c r="F1136" s="61" t="n"/>
    </row>
    <row r="1137">
      <c r="A1137" s="60" t="n"/>
      <c r="B1137" s="65">
        <f>IF(A1137="","",IFERROR(INDEX(Bestand!$B$14:$B$213,MATCH(A1137,Bestand!$A$14:$A$213,0)),"ID unbekannt"))</f>
        <v/>
      </c>
      <c r="C1137" s="63" t="n"/>
      <c r="D1137" s="61" t="n"/>
      <c r="E1137" s="60" t="n"/>
      <c r="F1137" s="61" t="n"/>
    </row>
    <row r="1138">
      <c r="A1138" s="60" t="n"/>
      <c r="B1138" s="65">
        <f>IF(A1138="","",IFERROR(INDEX(Bestand!$B$14:$B$213,MATCH(A1138,Bestand!$A$14:$A$213,0)),"ID unbekannt"))</f>
        <v/>
      </c>
      <c r="C1138" s="63" t="n"/>
      <c r="D1138" s="61" t="n"/>
      <c r="E1138" s="60" t="n"/>
      <c r="F1138" s="61" t="n"/>
    </row>
    <row r="1139">
      <c r="A1139" s="60" t="n"/>
      <c r="B1139" s="65">
        <f>IF(A1139="","",IFERROR(INDEX(Bestand!$B$14:$B$213,MATCH(A1139,Bestand!$A$14:$A$213,0)),"ID unbekannt"))</f>
        <v/>
      </c>
      <c r="C1139" s="63" t="n"/>
      <c r="D1139" s="61" t="n"/>
      <c r="E1139" s="60" t="n"/>
      <c r="F1139" s="61" t="n"/>
    </row>
    <row r="1140">
      <c r="A1140" s="60" t="n"/>
      <c r="B1140" s="65">
        <f>IF(A1140="","",IFERROR(INDEX(Bestand!$B$14:$B$213,MATCH(A1140,Bestand!$A$14:$A$213,0)),"ID unbekannt"))</f>
        <v/>
      </c>
      <c r="C1140" s="63" t="n"/>
      <c r="D1140" s="61" t="n"/>
      <c r="E1140" s="60" t="n"/>
      <c r="F1140" s="61" t="n"/>
    </row>
    <row r="1141">
      <c r="A1141" s="60" t="n"/>
      <c r="B1141" s="65">
        <f>IF(A1141="","",IFERROR(INDEX(Bestand!$B$14:$B$213,MATCH(A1141,Bestand!$A$14:$A$213,0)),"ID unbekannt"))</f>
        <v/>
      </c>
      <c r="C1141" s="63" t="n"/>
      <c r="D1141" s="61" t="n"/>
      <c r="E1141" s="60" t="n"/>
      <c r="F1141" s="61" t="n"/>
    </row>
    <row r="1142">
      <c r="A1142" s="60" t="n"/>
      <c r="B1142" s="65">
        <f>IF(A1142="","",IFERROR(INDEX(Bestand!$B$14:$B$213,MATCH(A1142,Bestand!$A$14:$A$213,0)),"ID unbekannt"))</f>
        <v/>
      </c>
      <c r="C1142" s="63" t="n"/>
      <c r="D1142" s="61" t="n"/>
      <c r="E1142" s="60" t="n"/>
      <c r="F1142" s="61" t="n"/>
    </row>
    <row r="1143">
      <c r="A1143" s="60" t="n"/>
      <c r="B1143" s="65">
        <f>IF(A1143="","",IFERROR(INDEX(Bestand!$B$14:$B$213,MATCH(A1143,Bestand!$A$14:$A$213,0)),"ID unbekannt"))</f>
        <v/>
      </c>
      <c r="C1143" s="63" t="n"/>
      <c r="D1143" s="61" t="n"/>
      <c r="E1143" s="60" t="n"/>
      <c r="F1143" s="61" t="n"/>
    </row>
    <row r="1144">
      <c r="A1144" s="60" t="n"/>
      <c r="B1144" s="65">
        <f>IF(A1144="","",IFERROR(INDEX(Bestand!$B$14:$B$213,MATCH(A1144,Bestand!$A$14:$A$213,0)),"ID unbekannt"))</f>
        <v/>
      </c>
      <c r="C1144" s="63" t="n"/>
      <c r="D1144" s="61" t="n"/>
      <c r="E1144" s="60" t="n"/>
      <c r="F1144" s="61" t="n"/>
    </row>
    <row r="1145">
      <c r="A1145" s="60" t="n"/>
      <c r="B1145" s="65">
        <f>IF(A1145="","",IFERROR(INDEX(Bestand!$B$14:$B$213,MATCH(A1145,Bestand!$A$14:$A$213,0)),"ID unbekannt"))</f>
        <v/>
      </c>
      <c r="C1145" s="63" t="n"/>
      <c r="D1145" s="61" t="n"/>
      <c r="E1145" s="60" t="n"/>
      <c r="F1145" s="61" t="n"/>
    </row>
    <row r="1146">
      <c r="A1146" s="60" t="n"/>
      <c r="B1146" s="65">
        <f>IF(A1146="","",IFERROR(INDEX(Bestand!$B$14:$B$213,MATCH(A1146,Bestand!$A$14:$A$213,0)),"ID unbekannt"))</f>
        <v/>
      </c>
      <c r="C1146" s="63" t="n"/>
      <c r="D1146" s="61" t="n"/>
      <c r="E1146" s="60" t="n"/>
      <c r="F1146" s="61" t="n"/>
    </row>
    <row r="1147">
      <c r="A1147" s="60" t="n"/>
      <c r="B1147" s="65">
        <f>IF(A1147="","",IFERROR(INDEX(Bestand!$B$14:$B$213,MATCH(A1147,Bestand!$A$14:$A$213,0)),"ID unbekannt"))</f>
        <v/>
      </c>
      <c r="C1147" s="63" t="n"/>
      <c r="D1147" s="61" t="n"/>
      <c r="E1147" s="60" t="n"/>
      <c r="F1147" s="61" t="n"/>
    </row>
    <row r="1148">
      <c r="A1148" s="60" t="n"/>
      <c r="B1148" s="65">
        <f>IF(A1148="","",IFERROR(INDEX(Bestand!$B$14:$B$213,MATCH(A1148,Bestand!$A$14:$A$213,0)),"ID unbekannt"))</f>
        <v/>
      </c>
      <c r="C1148" s="63" t="n"/>
      <c r="D1148" s="61" t="n"/>
      <c r="E1148" s="60" t="n"/>
      <c r="F1148" s="61" t="n"/>
    </row>
    <row r="1149">
      <c r="A1149" s="60" t="n"/>
      <c r="B1149" s="65">
        <f>IF(A1149="","",IFERROR(INDEX(Bestand!$B$14:$B$213,MATCH(A1149,Bestand!$A$14:$A$213,0)),"ID unbekannt"))</f>
        <v/>
      </c>
      <c r="C1149" s="63" t="n"/>
      <c r="D1149" s="61" t="n"/>
      <c r="E1149" s="60" t="n"/>
      <c r="F1149" s="61" t="n"/>
    </row>
    <row r="1150">
      <c r="A1150" s="60" t="n"/>
      <c r="B1150" s="65">
        <f>IF(A1150="","",IFERROR(INDEX(Bestand!$B$14:$B$213,MATCH(A1150,Bestand!$A$14:$A$213,0)),"ID unbekannt"))</f>
        <v/>
      </c>
      <c r="C1150" s="63" t="n"/>
      <c r="D1150" s="61" t="n"/>
      <c r="E1150" s="60" t="n"/>
      <c r="F1150" s="61" t="n"/>
    </row>
    <row r="1151">
      <c r="A1151" s="60" t="n"/>
      <c r="B1151" s="65">
        <f>IF(A1151="","",IFERROR(INDEX(Bestand!$B$14:$B$213,MATCH(A1151,Bestand!$A$14:$A$213,0)),"ID unbekannt"))</f>
        <v/>
      </c>
      <c r="C1151" s="63" t="n"/>
      <c r="D1151" s="61" t="n"/>
      <c r="E1151" s="60" t="n"/>
      <c r="F1151" s="61" t="n"/>
    </row>
    <row r="1152">
      <c r="A1152" s="60" t="n"/>
      <c r="B1152" s="65">
        <f>IF(A1152="","",IFERROR(INDEX(Bestand!$B$14:$B$213,MATCH(A1152,Bestand!$A$14:$A$213,0)),"ID unbekannt"))</f>
        <v/>
      </c>
      <c r="C1152" s="63" t="n"/>
      <c r="D1152" s="61" t="n"/>
      <c r="E1152" s="60" t="n"/>
      <c r="F1152" s="61" t="n"/>
    </row>
    <row r="1153">
      <c r="A1153" s="60" t="n"/>
      <c r="B1153" s="65">
        <f>IF(A1153="","",IFERROR(INDEX(Bestand!$B$14:$B$213,MATCH(A1153,Bestand!$A$14:$A$213,0)),"ID unbekannt"))</f>
        <v/>
      </c>
      <c r="C1153" s="63" t="n"/>
      <c r="D1153" s="61" t="n"/>
      <c r="E1153" s="60" t="n"/>
      <c r="F1153" s="61" t="n"/>
    </row>
    <row r="1154">
      <c r="A1154" s="60" t="n"/>
      <c r="B1154" s="65">
        <f>IF(A1154="","",IFERROR(INDEX(Bestand!$B$14:$B$213,MATCH(A1154,Bestand!$A$14:$A$213,0)),"ID unbekannt"))</f>
        <v/>
      </c>
      <c r="C1154" s="63" t="n"/>
      <c r="D1154" s="61" t="n"/>
      <c r="E1154" s="60" t="n"/>
      <c r="F1154" s="61" t="n"/>
    </row>
    <row r="1155">
      <c r="A1155" s="60" t="n"/>
      <c r="B1155" s="65">
        <f>IF(A1155="","",IFERROR(INDEX(Bestand!$B$14:$B$213,MATCH(A1155,Bestand!$A$14:$A$213,0)),"ID unbekannt"))</f>
        <v/>
      </c>
      <c r="C1155" s="63" t="n"/>
      <c r="D1155" s="61" t="n"/>
      <c r="E1155" s="60" t="n"/>
      <c r="F1155" s="61" t="n"/>
    </row>
    <row r="1156">
      <c r="A1156" s="60" t="n"/>
      <c r="B1156" s="65">
        <f>IF(A1156="","",IFERROR(INDEX(Bestand!$B$14:$B$213,MATCH(A1156,Bestand!$A$14:$A$213,0)),"ID unbekannt"))</f>
        <v/>
      </c>
      <c r="C1156" s="63" t="n"/>
      <c r="D1156" s="61" t="n"/>
      <c r="E1156" s="60" t="n"/>
      <c r="F1156" s="61" t="n"/>
    </row>
    <row r="1157">
      <c r="A1157" s="60" t="n"/>
      <c r="B1157" s="65">
        <f>IF(A1157="","",IFERROR(INDEX(Bestand!$B$14:$B$213,MATCH(A1157,Bestand!$A$14:$A$213,0)),"ID unbekannt"))</f>
        <v/>
      </c>
      <c r="C1157" s="63" t="n"/>
      <c r="D1157" s="61" t="n"/>
      <c r="E1157" s="60" t="n"/>
      <c r="F1157" s="61" t="n"/>
    </row>
    <row r="1158">
      <c r="A1158" s="60" t="n"/>
      <c r="B1158" s="65">
        <f>IF(A1158="","",IFERROR(INDEX(Bestand!$B$14:$B$213,MATCH(A1158,Bestand!$A$14:$A$213,0)),"ID unbekannt"))</f>
        <v/>
      </c>
      <c r="C1158" s="63" t="n"/>
      <c r="D1158" s="61" t="n"/>
      <c r="E1158" s="60" t="n"/>
      <c r="F1158" s="61" t="n"/>
    </row>
    <row r="1159">
      <c r="A1159" s="60" t="n"/>
      <c r="B1159" s="65">
        <f>IF(A1159="","",IFERROR(INDEX(Bestand!$B$14:$B$213,MATCH(A1159,Bestand!$A$14:$A$213,0)),"ID unbekannt"))</f>
        <v/>
      </c>
      <c r="C1159" s="63" t="n"/>
      <c r="D1159" s="61" t="n"/>
      <c r="E1159" s="60" t="n"/>
      <c r="F1159" s="61" t="n"/>
    </row>
    <row r="1160">
      <c r="A1160" s="60" t="n"/>
      <c r="B1160" s="65">
        <f>IF(A1160="","",IFERROR(INDEX(Bestand!$B$14:$B$213,MATCH(A1160,Bestand!$A$14:$A$213,0)),"ID unbekannt"))</f>
        <v/>
      </c>
      <c r="C1160" s="63" t="n"/>
      <c r="D1160" s="61" t="n"/>
      <c r="E1160" s="60" t="n"/>
      <c r="F1160" s="61" t="n"/>
    </row>
    <row r="1161">
      <c r="A1161" s="60" t="n"/>
      <c r="B1161" s="65">
        <f>IF(A1161="","",IFERROR(INDEX(Bestand!$B$14:$B$213,MATCH(A1161,Bestand!$A$14:$A$213,0)),"ID unbekannt"))</f>
        <v/>
      </c>
      <c r="C1161" s="63" t="n"/>
      <c r="D1161" s="61" t="n"/>
      <c r="E1161" s="60" t="n"/>
      <c r="F1161" s="61" t="n"/>
    </row>
    <row r="1162">
      <c r="A1162" s="60" t="n"/>
      <c r="B1162" s="65">
        <f>IF(A1162="","",IFERROR(INDEX(Bestand!$B$14:$B$213,MATCH(A1162,Bestand!$A$14:$A$213,0)),"ID unbekannt"))</f>
        <v/>
      </c>
      <c r="C1162" s="63" t="n"/>
      <c r="D1162" s="61" t="n"/>
      <c r="E1162" s="60" t="n"/>
      <c r="F1162" s="61" t="n"/>
    </row>
    <row r="1163">
      <c r="A1163" s="60" t="n"/>
      <c r="B1163" s="65">
        <f>IF(A1163="","",IFERROR(INDEX(Bestand!$B$14:$B$213,MATCH(A1163,Bestand!$A$14:$A$213,0)),"ID unbekannt"))</f>
        <v/>
      </c>
      <c r="C1163" s="63" t="n"/>
      <c r="D1163" s="61" t="n"/>
      <c r="E1163" s="60" t="n"/>
      <c r="F1163" s="61" t="n"/>
    </row>
    <row r="1164">
      <c r="A1164" s="60" t="n"/>
      <c r="B1164" s="65">
        <f>IF(A1164="","",IFERROR(INDEX(Bestand!$B$14:$B$213,MATCH(A1164,Bestand!$A$14:$A$213,0)),"ID unbekannt"))</f>
        <v/>
      </c>
      <c r="C1164" s="63" t="n"/>
      <c r="D1164" s="61" t="n"/>
      <c r="E1164" s="60" t="n"/>
      <c r="F1164" s="61" t="n"/>
    </row>
    <row r="1165">
      <c r="A1165" s="60" t="n"/>
      <c r="B1165" s="65">
        <f>IF(A1165="","",IFERROR(INDEX(Bestand!$B$14:$B$213,MATCH(A1165,Bestand!$A$14:$A$213,0)),"ID unbekannt"))</f>
        <v/>
      </c>
      <c r="C1165" s="63" t="n"/>
      <c r="D1165" s="61" t="n"/>
      <c r="E1165" s="60" t="n"/>
      <c r="F1165" s="61" t="n"/>
    </row>
    <row r="1166">
      <c r="A1166" s="60" t="n"/>
      <c r="B1166" s="65">
        <f>IF(A1166="","",IFERROR(INDEX(Bestand!$B$14:$B$213,MATCH(A1166,Bestand!$A$14:$A$213,0)),"ID unbekannt"))</f>
        <v/>
      </c>
      <c r="C1166" s="63" t="n"/>
      <c r="D1166" s="61" t="n"/>
      <c r="E1166" s="60" t="n"/>
      <c r="F1166" s="61" t="n"/>
    </row>
    <row r="1167">
      <c r="A1167" s="60" t="n"/>
      <c r="B1167" s="65">
        <f>IF(A1167="","",IFERROR(INDEX(Bestand!$B$14:$B$213,MATCH(A1167,Bestand!$A$14:$A$213,0)),"ID unbekannt"))</f>
        <v/>
      </c>
      <c r="C1167" s="63" t="n"/>
      <c r="D1167" s="61" t="n"/>
      <c r="E1167" s="60" t="n"/>
      <c r="F1167" s="61" t="n"/>
    </row>
    <row r="1168">
      <c r="A1168" s="60" t="n"/>
      <c r="B1168" s="65">
        <f>IF(A1168="","",IFERROR(INDEX(Bestand!$B$14:$B$213,MATCH(A1168,Bestand!$A$14:$A$213,0)),"ID unbekannt"))</f>
        <v/>
      </c>
      <c r="C1168" s="63" t="n"/>
      <c r="D1168" s="61" t="n"/>
      <c r="E1168" s="60" t="n"/>
      <c r="F1168" s="61" t="n"/>
    </row>
    <row r="1169">
      <c r="A1169" s="60" t="n"/>
      <c r="B1169" s="65">
        <f>IF(A1169="","",IFERROR(INDEX(Bestand!$B$14:$B$213,MATCH(A1169,Bestand!$A$14:$A$213,0)),"ID unbekannt"))</f>
        <v/>
      </c>
      <c r="C1169" s="63" t="n"/>
      <c r="D1169" s="61" t="n"/>
      <c r="E1169" s="60" t="n"/>
      <c r="F1169" s="61" t="n"/>
    </row>
    <row r="1170">
      <c r="A1170" s="60" t="n"/>
      <c r="B1170" s="65">
        <f>IF(A1170="","",IFERROR(INDEX(Bestand!$B$14:$B$213,MATCH(A1170,Bestand!$A$14:$A$213,0)),"ID unbekannt"))</f>
        <v/>
      </c>
      <c r="C1170" s="63" t="n"/>
      <c r="D1170" s="61" t="n"/>
      <c r="E1170" s="60" t="n"/>
      <c r="F1170" s="61" t="n"/>
    </row>
    <row r="1171">
      <c r="A1171" s="60" t="n"/>
      <c r="B1171" s="65">
        <f>IF(A1171="","",IFERROR(INDEX(Bestand!$B$14:$B$213,MATCH(A1171,Bestand!$A$14:$A$213,0)),"ID unbekannt"))</f>
        <v/>
      </c>
      <c r="C1171" s="63" t="n"/>
      <c r="D1171" s="61" t="n"/>
      <c r="E1171" s="60" t="n"/>
      <c r="F1171" s="61" t="n"/>
    </row>
    <row r="1172">
      <c r="A1172" s="60" t="n"/>
      <c r="B1172" s="65">
        <f>IF(A1172="","",IFERROR(INDEX(Bestand!$B$14:$B$213,MATCH(A1172,Bestand!$A$14:$A$213,0)),"ID unbekannt"))</f>
        <v/>
      </c>
      <c r="C1172" s="63" t="n"/>
      <c r="D1172" s="61" t="n"/>
      <c r="E1172" s="60" t="n"/>
      <c r="F1172" s="61" t="n"/>
    </row>
    <row r="1173">
      <c r="A1173" s="60" t="n"/>
      <c r="B1173" s="65">
        <f>IF(A1173="","",IFERROR(INDEX(Bestand!$B$14:$B$213,MATCH(A1173,Bestand!$A$14:$A$213,0)),"ID unbekannt"))</f>
        <v/>
      </c>
      <c r="C1173" s="63" t="n"/>
      <c r="D1173" s="61" t="n"/>
      <c r="E1173" s="60" t="n"/>
      <c r="F1173" s="61" t="n"/>
    </row>
    <row r="1174">
      <c r="A1174" s="60" t="n"/>
      <c r="B1174" s="65">
        <f>IF(A1174="","",IFERROR(INDEX(Bestand!$B$14:$B$213,MATCH(A1174,Bestand!$A$14:$A$213,0)),"ID unbekannt"))</f>
        <v/>
      </c>
      <c r="C1174" s="63" t="n"/>
      <c r="D1174" s="61" t="n"/>
      <c r="E1174" s="60" t="n"/>
      <c r="F1174" s="61" t="n"/>
    </row>
    <row r="1175">
      <c r="A1175" s="60" t="n"/>
      <c r="B1175" s="65">
        <f>IF(A1175="","",IFERROR(INDEX(Bestand!$B$14:$B$213,MATCH(A1175,Bestand!$A$14:$A$213,0)),"ID unbekannt"))</f>
        <v/>
      </c>
      <c r="C1175" s="63" t="n"/>
      <c r="D1175" s="61" t="n"/>
      <c r="E1175" s="60" t="n"/>
      <c r="F1175" s="61" t="n"/>
    </row>
    <row r="1176">
      <c r="A1176" s="60" t="n"/>
      <c r="B1176" s="65">
        <f>IF(A1176="","",IFERROR(INDEX(Bestand!$B$14:$B$213,MATCH(A1176,Bestand!$A$14:$A$213,0)),"ID unbekannt"))</f>
        <v/>
      </c>
      <c r="C1176" s="63" t="n"/>
      <c r="D1176" s="61" t="n"/>
      <c r="E1176" s="60" t="n"/>
      <c r="F1176" s="61" t="n"/>
    </row>
    <row r="1177">
      <c r="A1177" s="60" t="n"/>
      <c r="B1177" s="65">
        <f>IF(A1177="","",IFERROR(INDEX(Bestand!$B$14:$B$213,MATCH(A1177,Bestand!$A$14:$A$213,0)),"ID unbekannt"))</f>
        <v/>
      </c>
      <c r="C1177" s="63" t="n"/>
      <c r="D1177" s="61" t="n"/>
      <c r="E1177" s="60" t="n"/>
      <c r="F1177" s="61" t="n"/>
    </row>
    <row r="1178">
      <c r="A1178" s="60" t="n"/>
      <c r="B1178" s="65">
        <f>IF(A1178="","",IFERROR(INDEX(Bestand!$B$14:$B$213,MATCH(A1178,Bestand!$A$14:$A$213,0)),"ID unbekannt"))</f>
        <v/>
      </c>
      <c r="C1178" s="63" t="n"/>
      <c r="D1178" s="61" t="n"/>
      <c r="E1178" s="60" t="n"/>
      <c r="F1178" s="61" t="n"/>
    </row>
    <row r="1179">
      <c r="A1179" s="60" t="n"/>
      <c r="B1179" s="65">
        <f>IF(A1179="","",IFERROR(INDEX(Bestand!$B$14:$B$213,MATCH(A1179,Bestand!$A$14:$A$213,0)),"ID unbekannt"))</f>
        <v/>
      </c>
      <c r="C1179" s="63" t="n"/>
      <c r="D1179" s="61" t="n"/>
      <c r="E1179" s="60" t="n"/>
      <c r="F1179" s="61" t="n"/>
    </row>
    <row r="1180">
      <c r="A1180" s="60" t="n"/>
      <c r="B1180" s="65">
        <f>IF(A1180="","",IFERROR(INDEX(Bestand!$B$14:$B$213,MATCH(A1180,Bestand!$A$14:$A$213,0)),"ID unbekannt"))</f>
        <v/>
      </c>
      <c r="C1180" s="63" t="n"/>
      <c r="D1180" s="61" t="n"/>
      <c r="E1180" s="60" t="n"/>
      <c r="F1180" s="61" t="n"/>
    </row>
    <row r="1181">
      <c r="A1181" s="60" t="n"/>
      <c r="B1181" s="65">
        <f>IF(A1181="","",IFERROR(INDEX(Bestand!$B$14:$B$213,MATCH(A1181,Bestand!$A$14:$A$213,0)),"ID unbekannt"))</f>
        <v/>
      </c>
      <c r="C1181" s="63" t="n"/>
      <c r="D1181" s="61" t="n"/>
      <c r="E1181" s="60" t="n"/>
      <c r="F1181" s="61" t="n"/>
    </row>
    <row r="1182">
      <c r="A1182" s="60" t="n"/>
      <c r="B1182" s="65">
        <f>IF(A1182="","",IFERROR(INDEX(Bestand!$B$14:$B$213,MATCH(A1182,Bestand!$A$14:$A$213,0)),"ID unbekannt"))</f>
        <v/>
      </c>
      <c r="C1182" s="63" t="n"/>
      <c r="D1182" s="61" t="n"/>
      <c r="E1182" s="60" t="n"/>
      <c r="F1182" s="61" t="n"/>
    </row>
    <row r="1183">
      <c r="A1183" s="60" t="n"/>
      <c r="B1183" s="65">
        <f>IF(A1183="","",IFERROR(INDEX(Bestand!$B$14:$B$213,MATCH(A1183,Bestand!$A$14:$A$213,0)),"ID unbekannt"))</f>
        <v/>
      </c>
      <c r="C1183" s="63" t="n"/>
      <c r="D1183" s="61" t="n"/>
      <c r="E1183" s="60" t="n"/>
      <c r="F1183" s="61" t="n"/>
    </row>
    <row r="1184">
      <c r="A1184" s="60" t="n"/>
      <c r="B1184" s="65">
        <f>IF(A1184="","",IFERROR(INDEX(Bestand!$B$14:$B$213,MATCH(A1184,Bestand!$A$14:$A$213,0)),"ID unbekannt"))</f>
        <v/>
      </c>
      <c r="C1184" s="63" t="n"/>
      <c r="D1184" s="61" t="n"/>
      <c r="E1184" s="60" t="n"/>
      <c r="F1184" s="61" t="n"/>
    </row>
    <row r="1185">
      <c r="A1185" s="60" t="n"/>
      <c r="B1185" s="65">
        <f>IF(A1185="","",IFERROR(INDEX(Bestand!$B$14:$B$213,MATCH(A1185,Bestand!$A$14:$A$213,0)),"ID unbekannt"))</f>
        <v/>
      </c>
      <c r="C1185" s="63" t="n"/>
      <c r="D1185" s="61" t="n"/>
      <c r="E1185" s="60" t="n"/>
      <c r="F1185" s="61" t="n"/>
    </row>
    <row r="1186">
      <c r="A1186" s="60" t="n"/>
      <c r="B1186" s="65">
        <f>IF(A1186="","",IFERROR(INDEX(Bestand!$B$14:$B$213,MATCH(A1186,Bestand!$A$14:$A$213,0)),"ID unbekannt"))</f>
        <v/>
      </c>
      <c r="C1186" s="63" t="n"/>
      <c r="D1186" s="61" t="n"/>
      <c r="E1186" s="60" t="n"/>
      <c r="F1186" s="61" t="n"/>
    </row>
    <row r="1187">
      <c r="A1187" s="60" t="n"/>
      <c r="B1187" s="65">
        <f>IF(A1187="","",IFERROR(INDEX(Bestand!$B$14:$B$213,MATCH(A1187,Bestand!$A$14:$A$213,0)),"ID unbekannt"))</f>
        <v/>
      </c>
      <c r="C1187" s="63" t="n"/>
      <c r="D1187" s="61" t="n"/>
      <c r="E1187" s="60" t="n"/>
      <c r="F1187" s="61" t="n"/>
    </row>
    <row r="1188">
      <c r="A1188" s="60" t="n"/>
      <c r="B1188" s="65">
        <f>IF(A1188="","",IFERROR(INDEX(Bestand!$B$14:$B$213,MATCH(A1188,Bestand!$A$14:$A$213,0)),"ID unbekannt"))</f>
        <v/>
      </c>
      <c r="C1188" s="63" t="n"/>
      <c r="D1188" s="61" t="n"/>
      <c r="E1188" s="60" t="n"/>
      <c r="F1188" s="61" t="n"/>
    </row>
    <row r="1189">
      <c r="A1189" s="60" t="n"/>
      <c r="B1189" s="65">
        <f>IF(A1189="","",IFERROR(INDEX(Bestand!$B$14:$B$213,MATCH(A1189,Bestand!$A$14:$A$213,0)),"ID unbekannt"))</f>
        <v/>
      </c>
      <c r="C1189" s="63" t="n"/>
      <c r="D1189" s="61" t="n"/>
      <c r="E1189" s="60" t="n"/>
      <c r="F1189" s="61" t="n"/>
    </row>
    <row r="1190">
      <c r="A1190" s="60" t="n"/>
      <c r="B1190" s="65">
        <f>IF(A1190="","",IFERROR(INDEX(Bestand!$B$14:$B$213,MATCH(A1190,Bestand!$A$14:$A$213,0)),"ID unbekannt"))</f>
        <v/>
      </c>
      <c r="C1190" s="63" t="n"/>
      <c r="D1190" s="61" t="n"/>
      <c r="E1190" s="60" t="n"/>
      <c r="F1190" s="61" t="n"/>
    </row>
    <row r="1191">
      <c r="A1191" s="60" t="n"/>
      <c r="B1191" s="65">
        <f>IF(A1191="","",IFERROR(INDEX(Bestand!$B$14:$B$213,MATCH(A1191,Bestand!$A$14:$A$213,0)),"ID unbekannt"))</f>
        <v/>
      </c>
      <c r="C1191" s="63" t="n"/>
      <c r="D1191" s="61" t="n"/>
      <c r="E1191" s="60" t="n"/>
      <c r="F1191" s="61" t="n"/>
    </row>
    <row r="1192">
      <c r="A1192" s="60" t="n"/>
      <c r="B1192" s="65">
        <f>IF(A1192="","",IFERROR(INDEX(Bestand!$B$14:$B$213,MATCH(A1192,Bestand!$A$14:$A$213,0)),"ID unbekannt"))</f>
        <v/>
      </c>
      <c r="C1192" s="63" t="n"/>
      <c r="D1192" s="61" t="n"/>
      <c r="E1192" s="60" t="n"/>
      <c r="F1192" s="61" t="n"/>
    </row>
    <row r="1193">
      <c r="A1193" s="60" t="n"/>
      <c r="B1193" s="65">
        <f>IF(A1193="","",IFERROR(INDEX(Bestand!$B$14:$B$213,MATCH(A1193,Bestand!$A$14:$A$213,0)),"ID unbekannt"))</f>
        <v/>
      </c>
      <c r="C1193" s="63" t="n"/>
      <c r="D1193" s="61" t="n"/>
      <c r="E1193" s="60" t="n"/>
      <c r="F1193" s="61" t="n"/>
    </row>
    <row r="1194">
      <c r="A1194" s="60" t="n"/>
      <c r="B1194" s="65">
        <f>IF(A1194="","",IFERROR(INDEX(Bestand!$B$14:$B$213,MATCH(A1194,Bestand!$A$14:$A$213,0)),"ID unbekannt"))</f>
        <v/>
      </c>
      <c r="C1194" s="63" t="n"/>
      <c r="D1194" s="61" t="n"/>
      <c r="E1194" s="60" t="n"/>
      <c r="F1194" s="61" t="n"/>
    </row>
    <row r="1195">
      <c r="A1195" s="60" t="n"/>
      <c r="B1195" s="65">
        <f>IF(A1195="","",IFERROR(INDEX(Bestand!$B$14:$B$213,MATCH(A1195,Bestand!$A$14:$A$213,0)),"ID unbekannt"))</f>
        <v/>
      </c>
      <c r="C1195" s="63" t="n"/>
      <c r="D1195" s="61" t="n"/>
      <c r="E1195" s="60" t="n"/>
      <c r="F1195" s="61" t="n"/>
    </row>
    <row r="1196">
      <c r="A1196" s="60" t="n"/>
      <c r="B1196" s="65">
        <f>IF(A1196="","",IFERROR(INDEX(Bestand!$B$14:$B$213,MATCH(A1196,Bestand!$A$14:$A$213,0)),"ID unbekannt"))</f>
        <v/>
      </c>
      <c r="C1196" s="63" t="n"/>
      <c r="D1196" s="61" t="n"/>
      <c r="E1196" s="60" t="n"/>
      <c r="F1196" s="61" t="n"/>
    </row>
    <row r="1197">
      <c r="A1197" s="60" t="n"/>
      <c r="B1197" s="65">
        <f>IF(A1197="","",IFERROR(INDEX(Bestand!$B$14:$B$213,MATCH(A1197,Bestand!$A$14:$A$213,0)),"ID unbekannt"))</f>
        <v/>
      </c>
      <c r="C1197" s="63" t="n"/>
      <c r="D1197" s="61" t="n"/>
      <c r="E1197" s="60" t="n"/>
      <c r="F1197" s="61" t="n"/>
    </row>
    <row r="1198">
      <c r="A1198" s="60" t="n"/>
      <c r="B1198" s="65">
        <f>IF(A1198="","",IFERROR(INDEX(Bestand!$B$14:$B$213,MATCH(A1198,Bestand!$A$14:$A$213,0)),"ID unbekannt"))</f>
        <v/>
      </c>
      <c r="C1198" s="63" t="n"/>
      <c r="D1198" s="61" t="n"/>
      <c r="E1198" s="60" t="n"/>
      <c r="F1198" s="61" t="n"/>
    </row>
    <row r="1199">
      <c r="A1199" s="60" t="n"/>
      <c r="B1199" s="65">
        <f>IF(A1199="","",IFERROR(INDEX(Bestand!$B$14:$B$213,MATCH(A1199,Bestand!$A$14:$A$213,0)),"ID unbekannt"))</f>
        <v/>
      </c>
      <c r="C1199" s="63" t="n"/>
      <c r="D1199" s="61" t="n"/>
      <c r="E1199" s="60" t="n"/>
      <c r="F1199" s="61" t="n"/>
    </row>
    <row r="1200">
      <c r="A1200" s="60" t="n"/>
      <c r="B1200" s="65">
        <f>IF(A1200="","",IFERROR(INDEX(Bestand!$B$14:$B$213,MATCH(A1200,Bestand!$A$14:$A$213,0)),"ID unbekannt"))</f>
        <v/>
      </c>
      <c r="C1200" s="63" t="n"/>
      <c r="D1200" s="61" t="n"/>
      <c r="E1200" s="60" t="n"/>
      <c r="F1200" s="61" t="n"/>
    </row>
    <row r="1201">
      <c r="A1201" s="60" t="n"/>
      <c r="B1201" s="65">
        <f>IF(A1201="","",IFERROR(INDEX(Bestand!$B$14:$B$213,MATCH(A1201,Bestand!$A$14:$A$213,0)),"ID unbekannt"))</f>
        <v/>
      </c>
      <c r="C1201" s="63" t="n"/>
      <c r="D1201" s="61" t="n"/>
      <c r="E1201" s="60" t="n"/>
      <c r="F1201" s="61" t="n"/>
    </row>
    <row r="1202">
      <c r="A1202" s="60" t="n"/>
      <c r="B1202" s="65">
        <f>IF(A1202="","",IFERROR(INDEX(Bestand!$B$14:$B$213,MATCH(A1202,Bestand!$A$14:$A$213,0)),"ID unbekannt"))</f>
        <v/>
      </c>
      <c r="C1202" s="63" t="n"/>
      <c r="D1202" s="61" t="n"/>
      <c r="E1202" s="60" t="n"/>
      <c r="F1202" s="61" t="n"/>
    </row>
    <row r="1203">
      <c r="A1203" s="60" t="n"/>
      <c r="B1203" s="65">
        <f>IF(A1203="","",IFERROR(INDEX(Bestand!$B$14:$B$213,MATCH(A1203,Bestand!$A$14:$A$213,0)),"ID unbekannt"))</f>
        <v/>
      </c>
      <c r="C1203" s="63" t="n"/>
      <c r="D1203" s="61" t="n"/>
      <c r="E1203" s="60" t="n"/>
      <c r="F1203" s="61" t="n"/>
    </row>
    <row r="1204">
      <c r="A1204" s="60" t="n"/>
      <c r="B1204" s="65">
        <f>IF(A1204="","",IFERROR(INDEX(Bestand!$B$14:$B$213,MATCH(A1204,Bestand!$A$14:$A$213,0)),"ID unbekannt"))</f>
        <v/>
      </c>
      <c r="C1204" s="63" t="n"/>
      <c r="D1204" s="61" t="n"/>
      <c r="E1204" s="60" t="n"/>
      <c r="F1204" s="61" t="n"/>
    </row>
    <row r="1205">
      <c r="A1205" s="60" t="n"/>
      <c r="B1205" s="65">
        <f>IF(A1205="","",IFERROR(INDEX(Bestand!$B$14:$B$213,MATCH(A1205,Bestand!$A$14:$A$213,0)),"ID unbekannt"))</f>
        <v/>
      </c>
      <c r="C1205" s="63" t="n"/>
      <c r="D1205" s="61" t="n"/>
      <c r="E1205" s="60" t="n"/>
      <c r="F1205" s="61" t="n"/>
    </row>
    <row r="1206">
      <c r="A1206" s="60" t="n"/>
      <c r="B1206" s="65">
        <f>IF(A1206="","",IFERROR(INDEX(Bestand!$B$14:$B$213,MATCH(A1206,Bestand!$A$14:$A$213,0)),"ID unbekannt"))</f>
        <v/>
      </c>
      <c r="C1206" s="63" t="n"/>
      <c r="D1206" s="61" t="n"/>
      <c r="E1206" s="60" t="n"/>
      <c r="F1206" s="61" t="n"/>
    </row>
    <row r="1207">
      <c r="A1207" s="60" t="n"/>
      <c r="B1207" s="65">
        <f>IF(A1207="","",IFERROR(INDEX(Bestand!$B$14:$B$213,MATCH(A1207,Bestand!$A$14:$A$213,0)),"ID unbekannt"))</f>
        <v/>
      </c>
      <c r="C1207" s="63" t="n"/>
      <c r="D1207" s="61" t="n"/>
      <c r="E1207" s="60" t="n"/>
      <c r="F1207" s="61" t="n"/>
    </row>
    <row r="1208">
      <c r="A1208" s="60" t="n"/>
      <c r="B1208" s="65">
        <f>IF(A1208="","",IFERROR(INDEX(Bestand!$B$14:$B$213,MATCH(A1208,Bestand!$A$14:$A$213,0)),"ID unbekannt"))</f>
        <v/>
      </c>
      <c r="C1208" s="63" t="n"/>
      <c r="D1208" s="61" t="n"/>
      <c r="E1208" s="60" t="n"/>
      <c r="F1208" s="61" t="n"/>
    </row>
    <row r="1209">
      <c r="A1209" s="60" t="n"/>
      <c r="B1209" s="65">
        <f>IF(A1209="","",IFERROR(INDEX(Bestand!$B$14:$B$213,MATCH(A1209,Bestand!$A$14:$A$213,0)),"ID unbekannt"))</f>
        <v/>
      </c>
      <c r="C1209" s="63" t="n"/>
      <c r="D1209" s="61" t="n"/>
      <c r="E1209" s="60" t="n"/>
      <c r="F1209" s="61" t="n"/>
    </row>
    <row r="1210">
      <c r="A1210" s="60" t="n"/>
      <c r="B1210" s="65">
        <f>IF(A1210="","",IFERROR(INDEX(Bestand!$B$14:$B$213,MATCH(A1210,Bestand!$A$14:$A$213,0)),"ID unbekannt"))</f>
        <v/>
      </c>
      <c r="C1210" s="63" t="n"/>
      <c r="D1210" s="61" t="n"/>
      <c r="E1210" s="60" t="n"/>
      <c r="F1210" s="61" t="n"/>
    </row>
    <row r="1211">
      <c r="A1211" s="60" t="n"/>
      <c r="B1211" s="65">
        <f>IF(A1211="","",IFERROR(INDEX(Bestand!$B$14:$B$213,MATCH(A1211,Bestand!$A$14:$A$213,0)),"ID unbekannt"))</f>
        <v/>
      </c>
      <c r="C1211" s="63" t="n"/>
      <c r="D1211" s="61" t="n"/>
      <c r="E1211" s="60" t="n"/>
      <c r="F1211" s="61" t="n"/>
    </row>
    <row r="1212">
      <c r="A1212" s="60" t="n"/>
      <c r="B1212" s="65">
        <f>IF(A1212="","",IFERROR(INDEX(Bestand!$B$14:$B$213,MATCH(A1212,Bestand!$A$14:$A$213,0)),"ID unbekannt"))</f>
        <v/>
      </c>
      <c r="C1212" s="63" t="n"/>
      <c r="D1212" s="61" t="n"/>
      <c r="E1212" s="60" t="n"/>
      <c r="F1212" s="61" t="n"/>
    </row>
    <row r="1213">
      <c r="A1213" s="60" t="n"/>
      <c r="B1213" s="65">
        <f>IF(A1213="","",IFERROR(INDEX(Bestand!$B$14:$B$213,MATCH(A1213,Bestand!$A$14:$A$213,0)),"ID unbekannt"))</f>
        <v/>
      </c>
      <c r="C1213" s="63" t="n"/>
      <c r="D1213" s="61" t="n"/>
      <c r="E1213" s="60" t="n"/>
      <c r="F1213" s="61" t="n"/>
    </row>
    <row r="1214">
      <c r="A1214" s="60" t="n"/>
      <c r="B1214" s="65">
        <f>IF(A1214="","",IFERROR(INDEX(Bestand!$B$14:$B$213,MATCH(A1214,Bestand!$A$14:$A$213,0)),"ID unbekannt"))</f>
        <v/>
      </c>
      <c r="C1214" s="63" t="n"/>
      <c r="D1214" s="61" t="n"/>
      <c r="E1214" s="60" t="n"/>
      <c r="F1214" s="61" t="n"/>
    </row>
    <row r="1215">
      <c r="A1215" s="60" t="n"/>
      <c r="B1215" s="65">
        <f>IF(A1215="","",IFERROR(INDEX(Bestand!$B$14:$B$213,MATCH(A1215,Bestand!$A$14:$A$213,0)),"ID unbekannt"))</f>
        <v/>
      </c>
      <c r="C1215" s="63" t="n"/>
      <c r="D1215" s="61" t="n"/>
      <c r="E1215" s="60" t="n"/>
      <c r="F1215" s="61" t="n"/>
    </row>
    <row r="1216">
      <c r="A1216" s="60" t="n"/>
      <c r="B1216" s="65">
        <f>IF(A1216="","",IFERROR(INDEX(Bestand!$B$14:$B$213,MATCH(A1216,Bestand!$A$14:$A$213,0)),"ID unbekannt"))</f>
        <v/>
      </c>
      <c r="C1216" s="63" t="n"/>
      <c r="D1216" s="61" t="n"/>
      <c r="E1216" s="60" t="n"/>
      <c r="F1216" s="61" t="n"/>
    </row>
    <row r="1217">
      <c r="A1217" s="60" t="n"/>
      <c r="B1217" s="65">
        <f>IF(A1217="","",IFERROR(INDEX(Bestand!$B$14:$B$213,MATCH(A1217,Bestand!$A$14:$A$213,0)),"ID unbekannt"))</f>
        <v/>
      </c>
      <c r="C1217" s="63" t="n"/>
      <c r="D1217" s="61" t="n"/>
      <c r="E1217" s="60" t="n"/>
      <c r="F1217" s="61" t="n"/>
    </row>
    <row r="1218">
      <c r="A1218" s="60" t="n"/>
      <c r="B1218" s="65">
        <f>IF(A1218="","",IFERROR(INDEX(Bestand!$B$14:$B$213,MATCH(A1218,Bestand!$A$14:$A$213,0)),"ID unbekannt"))</f>
        <v/>
      </c>
      <c r="C1218" s="63" t="n"/>
      <c r="D1218" s="61" t="n"/>
      <c r="E1218" s="60" t="n"/>
      <c r="F1218" s="61" t="n"/>
    </row>
    <row r="1219">
      <c r="A1219" s="60" t="n"/>
      <c r="B1219" s="65">
        <f>IF(A1219="","",IFERROR(INDEX(Bestand!$B$14:$B$213,MATCH(A1219,Bestand!$A$14:$A$213,0)),"ID unbekannt"))</f>
        <v/>
      </c>
      <c r="C1219" s="63" t="n"/>
      <c r="D1219" s="61" t="n"/>
      <c r="E1219" s="60" t="n"/>
      <c r="F1219" s="61" t="n"/>
    </row>
    <row r="1220">
      <c r="A1220" s="60" t="n"/>
      <c r="B1220" s="65">
        <f>IF(A1220="","",IFERROR(INDEX(Bestand!$B$14:$B$213,MATCH(A1220,Bestand!$A$14:$A$213,0)),"ID unbekannt"))</f>
        <v/>
      </c>
      <c r="C1220" s="63" t="n"/>
      <c r="D1220" s="61" t="n"/>
      <c r="E1220" s="60" t="n"/>
      <c r="F1220" s="61" t="n"/>
    </row>
    <row r="1221">
      <c r="A1221" s="60" t="n"/>
      <c r="B1221" s="65">
        <f>IF(A1221="","",IFERROR(INDEX(Bestand!$B$14:$B$213,MATCH(A1221,Bestand!$A$14:$A$213,0)),"ID unbekannt"))</f>
        <v/>
      </c>
      <c r="C1221" s="63" t="n"/>
      <c r="D1221" s="61" t="n"/>
      <c r="E1221" s="60" t="n"/>
      <c r="F1221" s="61" t="n"/>
    </row>
    <row r="1222">
      <c r="A1222" s="60" t="n"/>
      <c r="B1222" s="65">
        <f>IF(A1222="","",IFERROR(INDEX(Bestand!$B$14:$B$213,MATCH(A1222,Bestand!$A$14:$A$213,0)),"ID unbekannt"))</f>
        <v/>
      </c>
      <c r="C1222" s="63" t="n"/>
      <c r="D1222" s="61" t="n"/>
      <c r="E1222" s="60" t="n"/>
      <c r="F1222" s="61" t="n"/>
    </row>
    <row r="1223">
      <c r="A1223" s="60" t="n"/>
      <c r="B1223" s="65">
        <f>IF(A1223="","",IFERROR(INDEX(Bestand!$B$14:$B$213,MATCH(A1223,Bestand!$A$14:$A$213,0)),"ID unbekannt"))</f>
        <v/>
      </c>
      <c r="C1223" s="63" t="n"/>
      <c r="D1223" s="61" t="n"/>
      <c r="E1223" s="60" t="n"/>
      <c r="F1223" s="61" t="n"/>
    </row>
    <row r="1224">
      <c r="A1224" s="60" t="n"/>
      <c r="B1224" s="65">
        <f>IF(A1224="","",IFERROR(INDEX(Bestand!$B$14:$B$213,MATCH(A1224,Bestand!$A$14:$A$213,0)),"ID unbekannt"))</f>
        <v/>
      </c>
      <c r="C1224" s="63" t="n"/>
      <c r="D1224" s="61" t="n"/>
      <c r="E1224" s="60" t="n"/>
      <c r="F1224" s="61" t="n"/>
    </row>
    <row r="1225">
      <c r="A1225" s="60" t="n"/>
      <c r="B1225" s="65">
        <f>IF(A1225="","",IFERROR(INDEX(Bestand!$B$14:$B$213,MATCH(A1225,Bestand!$A$14:$A$213,0)),"ID unbekannt"))</f>
        <v/>
      </c>
      <c r="C1225" s="63" t="n"/>
      <c r="D1225" s="61" t="n"/>
      <c r="E1225" s="60" t="n"/>
      <c r="F1225" s="61" t="n"/>
    </row>
    <row r="1226">
      <c r="A1226" s="60" t="n"/>
      <c r="B1226" s="65">
        <f>IF(A1226="","",IFERROR(INDEX(Bestand!$B$14:$B$213,MATCH(A1226,Bestand!$A$14:$A$213,0)),"ID unbekannt"))</f>
        <v/>
      </c>
      <c r="C1226" s="63" t="n"/>
      <c r="D1226" s="61" t="n"/>
      <c r="E1226" s="60" t="n"/>
      <c r="F1226" s="61" t="n"/>
    </row>
    <row r="1227">
      <c r="A1227" s="60" t="n"/>
      <c r="B1227" s="65">
        <f>IF(A1227="","",IFERROR(INDEX(Bestand!$B$14:$B$213,MATCH(A1227,Bestand!$A$14:$A$213,0)),"ID unbekannt"))</f>
        <v/>
      </c>
      <c r="C1227" s="63" t="n"/>
      <c r="D1227" s="61" t="n"/>
      <c r="E1227" s="60" t="n"/>
      <c r="F1227" s="61" t="n"/>
    </row>
    <row r="1228">
      <c r="A1228" s="60" t="n"/>
      <c r="B1228" s="65">
        <f>IF(A1228="","",IFERROR(INDEX(Bestand!$B$14:$B$213,MATCH(A1228,Bestand!$A$14:$A$213,0)),"ID unbekannt"))</f>
        <v/>
      </c>
      <c r="C1228" s="63" t="n"/>
      <c r="D1228" s="61" t="n"/>
      <c r="E1228" s="60" t="n"/>
      <c r="F1228" s="61" t="n"/>
    </row>
    <row r="1229">
      <c r="A1229" s="60" t="n"/>
      <c r="B1229" s="65">
        <f>IF(A1229="","",IFERROR(INDEX(Bestand!$B$14:$B$213,MATCH(A1229,Bestand!$A$14:$A$213,0)),"ID unbekannt"))</f>
        <v/>
      </c>
      <c r="C1229" s="63" t="n"/>
      <c r="D1229" s="61" t="n"/>
      <c r="E1229" s="60" t="n"/>
      <c r="F1229" s="61" t="n"/>
    </row>
    <row r="1230">
      <c r="A1230" s="60" t="n"/>
      <c r="B1230" s="65">
        <f>IF(A1230="","",IFERROR(INDEX(Bestand!$B$14:$B$213,MATCH(A1230,Bestand!$A$14:$A$213,0)),"ID unbekannt"))</f>
        <v/>
      </c>
      <c r="C1230" s="63" t="n"/>
      <c r="D1230" s="61" t="n"/>
      <c r="E1230" s="60" t="n"/>
      <c r="F1230" s="61" t="n"/>
    </row>
    <row r="1231">
      <c r="A1231" s="60" t="n"/>
      <c r="B1231" s="65">
        <f>IF(A1231="","",IFERROR(INDEX(Bestand!$B$14:$B$213,MATCH(A1231,Bestand!$A$14:$A$213,0)),"ID unbekannt"))</f>
        <v/>
      </c>
      <c r="C1231" s="63" t="n"/>
      <c r="D1231" s="61" t="n"/>
      <c r="E1231" s="60" t="n"/>
      <c r="F1231" s="61" t="n"/>
    </row>
    <row r="1232">
      <c r="A1232" s="60" t="n"/>
      <c r="B1232" s="65">
        <f>IF(A1232="","",IFERROR(INDEX(Bestand!$B$14:$B$213,MATCH(A1232,Bestand!$A$14:$A$213,0)),"ID unbekannt"))</f>
        <v/>
      </c>
      <c r="C1232" s="63" t="n"/>
      <c r="D1232" s="61" t="n"/>
      <c r="E1232" s="60" t="n"/>
      <c r="F1232" s="61" t="n"/>
    </row>
    <row r="1233">
      <c r="A1233" s="60" t="n"/>
      <c r="B1233" s="65">
        <f>IF(A1233="","",IFERROR(INDEX(Bestand!$B$14:$B$213,MATCH(A1233,Bestand!$A$14:$A$213,0)),"ID unbekannt"))</f>
        <v/>
      </c>
      <c r="C1233" s="63" t="n"/>
      <c r="D1233" s="61" t="n"/>
      <c r="E1233" s="60" t="n"/>
      <c r="F1233" s="61" t="n"/>
    </row>
    <row r="1234">
      <c r="A1234" s="60" t="n"/>
      <c r="B1234" s="65">
        <f>IF(A1234="","",IFERROR(INDEX(Bestand!$B$14:$B$213,MATCH(A1234,Bestand!$A$14:$A$213,0)),"ID unbekannt"))</f>
        <v/>
      </c>
      <c r="C1234" s="63" t="n"/>
      <c r="D1234" s="61" t="n"/>
      <c r="E1234" s="60" t="n"/>
      <c r="F1234" s="61" t="n"/>
    </row>
    <row r="1235">
      <c r="A1235" s="60" t="n"/>
      <c r="B1235" s="65">
        <f>IF(A1235="","",IFERROR(INDEX(Bestand!$B$14:$B$213,MATCH(A1235,Bestand!$A$14:$A$213,0)),"ID unbekannt"))</f>
        <v/>
      </c>
      <c r="C1235" s="63" t="n"/>
      <c r="D1235" s="61" t="n"/>
      <c r="E1235" s="60" t="n"/>
      <c r="F1235" s="61" t="n"/>
    </row>
    <row r="1236">
      <c r="A1236" s="60" t="n"/>
      <c r="B1236" s="65">
        <f>IF(A1236="","",IFERROR(INDEX(Bestand!$B$14:$B$213,MATCH(A1236,Bestand!$A$14:$A$213,0)),"ID unbekannt"))</f>
        <v/>
      </c>
      <c r="C1236" s="63" t="n"/>
      <c r="D1236" s="61" t="n"/>
      <c r="E1236" s="60" t="n"/>
      <c r="F1236" s="61" t="n"/>
    </row>
    <row r="1237">
      <c r="A1237" s="60" t="n"/>
      <c r="B1237" s="65">
        <f>IF(A1237="","",IFERROR(INDEX(Bestand!$B$14:$B$213,MATCH(A1237,Bestand!$A$14:$A$213,0)),"ID unbekannt"))</f>
        <v/>
      </c>
      <c r="C1237" s="63" t="n"/>
      <c r="D1237" s="61" t="n"/>
      <c r="E1237" s="60" t="n"/>
      <c r="F1237" s="61" t="n"/>
    </row>
    <row r="1238">
      <c r="A1238" s="60" t="n"/>
      <c r="B1238" s="65">
        <f>IF(A1238="","",IFERROR(INDEX(Bestand!$B$14:$B$213,MATCH(A1238,Bestand!$A$14:$A$213,0)),"ID unbekannt"))</f>
        <v/>
      </c>
      <c r="C1238" s="63" t="n"/>
      <c r="D1238" s="61" t="n"/>
      <c r="E1238" s="60" t="n"/>
      <c r="F1238" s="61" t="n"/>
    </row>
    <row r="1239">
      <c r="A1239" s="60" t="n"/>
      <c r="B1239" s="65">
        <f>IF(A1239="","",IFERROR(INDEX(Bestand!$B$14:$B$213,MATCH(A1239,Bestand!$A$14:$A$213,0)),"ID unbekannt"))</f>
        <v/>
      </c>
      <c r="C1239" s="63" t="n"/>
      <c r="D1239" s="61" t="n"/>
      <c r="E1239" s="60" t="n"/>
      <c r="F1239" s="61" t="n"/>
    </row>
    <row r="1240">
      <c r="A1240" s="60" t="n"/>
      <c r="B1240" s="65">
        <f>IF(A1240="","",IFERROR(INDEX(Bestand!$B$14:$B$213,MATCH(A1240,Bestand!$A$14:$A$213,0)),"ID unbekannt"))</f>
        <v/>
      </c>
      <c r="C1240" s="63" t="n"/>
      <c r="D1240" s="61" t="n"/>
      <c r="E1240" s="60" t="n"/>
      <c r="F1240" s="61" t="n"/>
    </row>
    <row r="1241">
      <c r="A1241" s="60" t="n"/>
      <c r="B1241" s="65">
        <f>IF(A1241="","",IFERROR(INDEX(Bestand!$B$14:$B$213,MATCH(A1241,Bestand!$A$14:$A$213,0)),"ID unbekannt"))</f>
        <v/>
      </c>
      <c r="C1241" s="63" t="n"/>
      <c r="D1241" s="61" t="n"/>
      <c r="E1241" s="60" t="n"/>
      <c r="F1241" s="61" t="n"/>
    </row>
    <row r="1242">
      <c r="A1242" s="60" t="n"/>
      <c r="B1242" s="65">
        <f>IF(A1242="","",IFERROR(INDEX(Bestand!$B$14:$B$213,MATCH(A1242,Bestand!$A$14:$A$213,0)),"ID unbekannt"))</f>
        <v/>
      </c>
      <c r="C1242" s="63" t="n"/>
      <c r="D1242" s="61" t="n"/>
      <c r="E1242" s="60" t="n"/>
      <c r="F1242" s="61" t="n"/>
    </row>
    <row r="1243">
      <c r="A1243" s="60" t="n"/>
      <c r="B1243" s="65">
        <f>IF(A1243="","",IFERROR(INDEX(Bestand!$B$14:$B$213,MATCH(A1243,Bestand!$A$14:$A$213,0)),"ID unbekannt"))</f>
        <v/>
      </c>
      <c r="C1243" s="63" t="n"/>
      <c r="D1243" s="61" t="n"/>
      <c r="E1243" s="60" t="n"/>
      <c r="F1243" s="61" t="n"/>
    </row>
    <row r="1244">
      <c r="A1244" s="60" t="n"/>
      <c r="B1244" s="65">
        <f>IF(A1244="","",IFERROR(INDEX(Bestand!$B$14:$B$213,MATCH(A1244,Bestand!$A$14:$A$213,0)),"ID unbekannt"))</f>
        <v/>
      </c>
      <c r="C1244" s="63" t="n"/>
      <c r="D1244" s="61" t="n"/>
      <c r="E1244" s="60" t="n"/>
      <c r="F1244" s="61" t="n"/>
    </row>
    <row r="1245">
      <c r="A1245" s="60" t="n"/>
      <c r="B1245" s="65">
        <f>IF(A1245="","",IFERROR(INDEX(Bestand!$B$14:$B$213,MATCH(A1245,Bestand!$A$14:$A$213,0)),"ID unbekannt"))</f>
        <v/>
      </c>
      <c r="C1245" s="63" t="n"/>
      <c r="D1245" s="61" t="n"/>
      <c r="E1245" s="60" t="n"/>
      <c r="F1245" s="61" t="n"/>
    </row>
    <row r="1246">
      <c r="A1246" s="60" t="n"/>
      <c r="B1246" s="65">
        <f>IF(A1246="","",IFERROR(INDEX(Bestand!$B$14:$B$213,MATCH(A1246,Bestand!$A$14:$A$213,0)),"ID unbekannt"))</f>
        <v/>
      </c>
      <c r="C1246" s="63" t="n"/>
      <c r="D1246" s="61" t="n"/>
      <c r="E1246" s="60" t="n"/>
      <c r="F1246" s="61" t="n"/>
    </row>
    <row r="1247">
      <c r="A1247" s="60" t="n"/>
      <c r="B1247" s="65">
        <f>IF(A1247="","",IFERROR(INDEX(Bestand!$B$14:$B$213,MATCH(A1247,Bestand!$A$14:$A$213,0)),"ID unbekannt"))</f>
        <v/>
      </c>
      <c r="C1247" s="63" t="n"/>
      <c r="D1247" s="61" t="n"/>
      <c r="E1247" s="60" t="n"/>
      <c r="F1247" s="61" t="n"/>
    </row>
    <row r="1248">
      <c r="A1248" s="60" t="n"/>
      <c r="B1248" s="65">
        <f>IF(A1248="","",IFERROR(INDEX(Bestand!$B$14:$B$213,MATCH(A1248,Bestand!$A$14:$A$213,0)),"ID unbekannt"))</f>
        <v/>
      </c>
      <c r="C1248" s="63" t="n"/>
      <c r="D1248" s="61" t="n"/>
      <c r="E1248" s="60" t="n"/>
      <c r="F1248" s="61" t="n"/>
    </row>
    <row r="1249">
      <c r="A1249" s="60" t="n"/>
      <c r="B1249" s="65">
        <f>IF(A1249="","",IFERROR(INDEX(Bestand!$B$14:$B$213,MATCH(A1249,Bestand!$A$14:$A$213,0)),"ID unbekannt"))</f>
        <v/>
      </c>
      <c r="C1249" s="63" t="n"/>
      <c r="D1249" s="61" t="n"/>
      <c r="E1249" s="60" t="n"/>
      <c r="F1249" s="61" t="n"/>
    </row>
    <row r="1250">
      <c r="A1250" s="60" t="n"/>
      <c r="B1250" s="65">
        <f>IF(A1250="","",IFERROR(INDEX(Bestand!$B$14:$B$213,MATCH(A1250,Bestand!$A$14:$A$213,0)),"ID unbekannt"))</f>
        <v/>
      </c>
      <c r="C1250" s="63" t="n"/>
      <c r="D1250" s="61" t="n"/>
      <c r="E1250" s="60" t="n"/>
      <c r="F1250" s="61" t="n"/>
    </row>
    <row r="1251">
      <c r="A1251" s="60" t="n"/>
      <c r="B1251" s="65">
        <f>IF(A1251="","",IFERROR(INDEX(Bestand!$B$14:$B$213,MATCH(A1251,Bestand!$A$14:$A$213,0)),"ID unbekannt"))</f>
        <v/>
      </c>
      <c r="C1251" s="63" t="n"/>
      <c r="D1251" s="61" t="n"/>
      <c r="E1251" s="60" t="n"/>
      <c r="F1251" s="61" t="n"/>
    </row>
    <row r="1252">
      <c r="A1252" s="60" t="n"/>
      <c r="B1252" s="65">
        <f>IF(A1252="","",IFERROR(INDEX(Bestand!$B$14:$B$213,MATCH(A1252,Bestand!$A$14:$A$213,0)),"ID unbekannt"))</f>
        <v/>
      </c>
      <c r="C1252" s="63" t="n"/>
      <c r="D1252" s="61" t="n"/>
      <c r="E1252" s="60" t="n"/>
      <c r="F1252" s="61" t="n"/>
    </row>
    <row r="1253">
      <c r="A1253" s="60" t="n"/>
      <c r="B1253" s="65">
        <f>IF(A1253="","",IFERROR(INDEX(Bestand!$B$14:$B$213,MATCH(A1253,Bestand!$A$14:$A$213,0)),"ID unbekannt"))</f>
        <v/>
      </c>
      <c r="C1253" s="63" t="n"/>
      <c r="D1253" s="61" t="n"/>
      <c r="E1253" s="60" t="n"/>
      <c r="F1253" s="61" t="n"/>
    </row>
    <row r="1254">
      <c r="A1254" s="60" t="n"/>
      <c r="B1254" s="65">
        <f>IF(A1254="","",IFERROR(INDEX(Bestand!$B$14:$B$213,MATCH(A1254,Bestand!$A$14:$A$213,0)),"ID unbekannt"))</f>
        <v/>
      </c>
      <c r="C1254" s="63" t="n"/>
      <c r="D1254" s="61" t="n"/>
      <c r="E1254" s="60" t="n"/>
      <c r="F1254" s="61" t="n"/>
    </row>
    <row r="1255">
      <c r="A1255" s="60" t="n"/>
      <c r="B1255" s="65">
        <f>IF(A1255="","",IFERROR(INDEX(Bestand!$B$14:$B$213,MATCH(A1255,Bestand!$A$14:$A$213,0)),"ID unbekannt"))</f>
        <v/>
      </c>
      <c r="C1255" s="63" t="n"/>
      <c r="D1255" s="61" t="n"/>
      <c r="E1255" s="60" t="n"/>
      <c r="F1255" s="61" t="n"/>
    </row>
    <row r="1256">
      <c r="A1256" s="60" t="n"/>
      <c r="B1256" s="65">
        <f>IF(A1256="","",IFERROR(INDEX(Bestand!$B$14:$B$213,MATCH(A1256,Bestand!$A$14:$A$213,0)),"ID unbekannt"))</f>
        <v/>
      </c>
      <c r="C1256" s="63" t="n"/>
      <c r="D1256" s="61" t="n"/>
      <c r="E1256" s="60" t="n"/>
      <c r="F1256" s="61" t="n"/>
    </row>
    <row r="1257">
      <c r="A1257" s="60" t="n"/>
      <c r="B1257" s="65">
        <f>IF(A1257="","",IFERROR(INDEX(Bestand!$B$14:$B$213,MATCH(A1257,Bestand!$A$14:$A$213,0)),"ID unbekannt"))</f>
        <v/>
      </c>
      <c r="C1257" s="63" t="n"/>
      <c r="D1257" s="61" t="n"/>
      <c r="E1257" s="60" t="n"/>
      <c r="F1257" s="61" t="n"/>
    </row>
    <row r="1258">
      <c r="A1258" s="60" t="n"/>
      <c r="B1258" s="65">
        <f>IF(A1258="","",IFERROR(INDEX(Bestand!$B$14:$B$213,MATCH(A1258,Bestand!$A$14:$A$213,0)),"ID unbekannt"))</f>
        <v/>
      </c>
      <c r="C1258" s="63" t="n"/>
      <c r="D1258" s="61" t="n"/>
      <c r="E1258" s="60" t="n"/>
      <c r="F1258" s="61" t="n"/>
    </row>
    <row r="1259">
      <c r="A1259" s="60" t="n"/>
      <c r="B1259" s="65">
        <f>IF(A1259="","",IFERROR(INDEX(Bestand!$B$14:$B$213,MATCH(A1259,Bestand!$A$14:$A$213,0)),"ID unbekannt"))</f>
        <v/>
      </c>
      <c r="C1259" s="63" t="n"/>
      <c r="D1259" s="61" t="n"/>
      <c r="E1259" s="60" t="n"/>
      <c r="F1259" s="61" t="n"/>
    </row>
    <row r="1260">
      <c r="A1260" s="60" t="n"/>
      <c r="B1260" s="65">
        <f>IF(A1260="","",IFERROR(INDEX(Bestand!$B$14:$B$213,MATCH(A1260,Bestand!$A$14:$A$213,0)),"ID unbekannt"))</f>
        <v/>
      </c>
      <c r="C1260" s="63" t="n"/>
      <c r="D1260" s="61" t="n"/>
      <c r="E1260" s="60" t="n"/>
      <c r="F1260" s="61" t="n"/>
    </row>
    <row r="1261">
      <c r="A1261" s="60" t="n"/>
      <c r="B1261" s="65">
        <f>IF(A1261="","",IFERROR(INDEX(Bestand!$B$14:$B$213,MATCH(A1261,Bestand!$A$14:$A$213,0)),"ID unbekannt"))</f>
        <v/>
      </c>
      <c r="C1261" s="63" t="n"/>
      <c r="D1261" s="61" t="n"/>
      <c r="E1261" s="60" t="n"/>
      <c r="F1261" s="61" t="n"/>
    </row>
    <row r="1262">
      <c r="A1262" s="60" t="n"/>
      <c r="B1262" s="65">
        <f>IF(A1262="","",IFERROR(INDEX(Bestand!$B$14:$B$213,MATCH(A1262,Bestand!$A$14:$A$213,0)),"ID unbekannt"))</f>
        <v/>
      </c>
      <c r="C1262" s="63" t="n"/>
      <c r="D1262" s="61" t="n"/>
      <c r="E1262" s="60" t="n"/>
      <c r="F1262" s="61" t="n"/>
    </row>
    <row r="1263">
      <c r="A1263" s="60" t="n"/>
      <c r="B1263" s="65">
        <f>IF(A1263="","",IFERROR(INDEX(Bestand!$B$14:$B$213,MATCH(A1263,Bestand!$A$14:$A$213,0)),"ID unbekannt"))</f>
        <v/>
      </c>
      <c r="C1263" s="63" t="n"/>
      <c r="D1263" s="61" t="n"/>
      <c r="E1263" s="60" t="n"/>
      <c r="F1263" s="61" t="n"/>
    </row>
    <row r="1264">
      <c r="A1264" s="60" t="n"/>
      <c r="B1264" s="65">
        <f>IF(A1264="","",IFERROR(INDEX(Bestand!$B$14:$B$213,MATCH(A1264,Bestand!$A$14:$A$213,0)),"ID unbekannt"))</f>
        <v/>
      </c>
      <c r="C1264" s="63" t="n"/>
      <c r="D1264" s="61" t="n"/>
      <c r="E1264" s="60" t="n"/>
      <c r="F1264" s="61" t="n"/>
    </row>
    <row r="1265">
      <c r="A1265" s="60" t="n"/>
      <c r="B1265" s="65">
        <f>IF(A1265="","",IFERROR(INDEX(Bestand!$B$14:$B$213,MATCH(A1265,Bestand!$A$14:$A$213,0)),"ID unbekannt"))</f>
        <v/>
      </c>
      <c r="C1265" s="63" t="n"/>
      <c r="D1265" s="61" t="n"/>
      <c r="E1265" s="60" t="n"/>
      <c r="F1265" s="61" t="n"/>
    </row>
    <row r="1266">
      <c r="A1266" s="60" t="n"/>
      <c r="B1266" s="65">
        <f>IF(A1266="","",IFERROR(INDEX(Bestand!$B$14:$B$213,MATCH(A1266,Bestand!$A$14:$A$213,0)),"ID unbekannt"))</f>
        <v/>
      </c>
      <c r="C1266" s="63" t="n"/>
      <c r="D1266" s="61" t="n"/>
      <c r="E1266" s="60" t="n"/>
      <c r="F1266" s="61" t="n"/>
    </row>
    <row r="1267">
      <c r="A1267" s="60" t="n"/>
      <c r="B1267" s="65">
        <f>IF(A1267="","",IFERROR(INDEX(Bestand!$B$14:$B$213,MATCH(A1267,Bestand!$A$14:$A$213,0)),"ID unbekannt"))</f>
        <v/>
      </c>
      <c r="C1267" s="63" t="n"/>
      <c r="D1267" s="61" t="n"/>
      <c r="E1267" s="60" t="n"/>
      <c r="F1267" s="61" t="n"/>
    </row>
    <row r="1268">
      <c r="A1268" s="60" t="n"/>
      <c r="B1268" s="65">
        <f>IF(A1268="","",IFERROR(INDEX(Bestand!$B$14:$B$213,MATCH(A1268,Bestand!$A$14:$A$213,0)),"ID unbekannt"))</f>
        <v/>
      </c>
      <c r="C1268" s="63" t="n"/>
      <c r="D1268" s="61" t="n"/>
      <c r="E1268" s="60" t="n"/>
      <c r="F1268" s="61" t="n"/>
    </row>
    <row r="1269">
      <c r="A1269" s="60" t="n"/>
      <c r="B1269" s="65">
        <f>IF(A1269="","",IFERROR(INDEX(Bestand!$B$14:$B$213,MATCH(A1269,Bestand!$A$14:$A$213,0)),"ID unbekannt"))</f>
        <v/>
      </c>
      <c r="C1269" s="63" t="n"/>
      <c r="D1269" s="61" t="n"/>
      <c r="E1269" s="60" t="n"/>
      <c r="F1269" s="61" t="n"/>
    </row>
    <row r="1270">
      <c r="A1270" s="60" t="n"/>
      <c r="B1270" s="65">
        <f>IF(A1270="","",IFERROR(INDEX(Bestand!$B$14:$B$213,MATCH(A1270,Bestand!$A$14:$A$213,0)),"ID unbekannt"))</f>
        <v/>
      </c>
      <c r="C1270" s="63" t="n"/>
      <c r="D1270" s="61" t="n"/>
      <c r="E1270" s="60" t="n"/>
      <c r="F1270" s="61" t="n"/>
    </row>
    <row r="1271">
      <c r="A1271" s="60" t="n"/>
      <c r="B1271" s="65">
        <f>IF(A1271="","",IFERROR(INDEX(Bestand!$B$14:$B$213,MATCH(A1271,Bestand!$A$14:$A$213,0)),"ID unbekannt"))</f>
        <v/>
      </c>
      <c r="C1271" s="63" t="n"/>
      <c r="D1271" s="61" t="n"/>
      <c r="E1271" s="60" t="n"/>
      <c r="F1271" s="61" t="n"/>
    </row>
    <row r="1272">
      <c r="A1272" s="60" t="n"/>
      <c r="B1272" s="65">
        <f>IF(A1272="","",IFERROR(INDEX(Bestand!$B$14:$B$213,MATCH(A1272,Bestand!$A$14:$A$213,0)),"ID unbekannt"))</f>
        <v/>
      </c>
      <c r="C1272" s="63" t="n"/>
      <c r="D1272" s="61" t="n"/>
      <c r="E1272" s="60" t="n"/>
      <c r="F1272" s="61" t="n"/>
    </row>
    <row r="1273">
      <c r="A1273" s="60" t="n"/>
      <c r="B1273" s="65">
        <f>IF(A1273="","",IFERROR(INDEX(Bestand!$B$14:$B$213,MATCH(A1273,Bestand!$A$14:$A$213,0)),"ID unbekannt"))</f>
        <v/>
      </c>
      <c r="C1273" s="63" t="n"/>
      <c r="D1273" s="61" t="n"/>
      <c r="E1273" s="60" t="n"/>
      <c r="F1273" s="61" t="n"/>
    </row>
    <row r="1274">
      <c r="A1274" s="60" t="n"/>
      <c r="B1274" s="65">
        <f>IF(A1274="","",IFERROR(INDEX(Bestand!$B$14:$B$213,MATCH(A1274,Bestand!$A$14:$A$213,0)),"ID unbekannt"))</f>
        <v/>
      </c>
      <c r="C1274" s="63" t="n"/>
      <c r="D1274" s="61" t="n"/>
      <c r="E1274" s="60" t="n"/>
      <c r="F1274" s="61" t="n"/>
    </row>
    <row r="1275">
      <c r="A1275" s="60" t="n"/>
      <c r="B1275" s="65">
        <f>IF(A1275="","",IFERROR(INDEX(Bestand!$B$14:$B$213,MATCH(A1275,Bestand!$A$14:$A$213,0)),"ID unbekannt"))</f>
        <v/>
      </c>
      <c r="C1275" s="63" t="n"/>
      <c r="D1275" s="61" t="n"/>
      <c r="E1275" s="60" t="n"/>
      <c r="F1275" s="61" t="n"/>
    </row>
    <row r="1276">
      <c r="A1276" s="60" t="n"/>
      <c r="B1276" s="65">
        <f>IF(A1276="","",IFERROR(INDEX(Bestand!$B$14:$B$213,MATCH(A1276,Bestand!$A$14:$A$213,0)),"ID unbekannt"))</f>
        <v/>
      </c>
      <c r="C1276" s="63" t="n"/>
      <c r="D1276" s="61" t="n"/>
      <c r="E1276" s="60" t="n"/>
      <c r="F1276" s="61" t="n"/>
    </row>
    <row r="1277">
      <c r="A1277" s="60" t="n"/>
      <c r="B1277" s="65">
        <f>IF(A1277="","",IFERROR(INDEX(Bestand!$B$14:$B$213,MATCH(A1277,Bestand!$A$14:$A$213,0)),"ID unbekannt"))</f>
        <v/>
      </c>
      <c r="C1277" s="63" t="n"/>
      <c r="D1277" s="61" t="n"/>
      <c r="E1277" s="60" t="n"/>
      <c r="F1277" s="61" t="n"/>
    </row>
    <row r="1278">
      <c r="A1278" s="60" t="n"/>
      <c r="B1278" s="65">
        <f>IF(A1278="","",IFERROR(INDEX(Bestand!$B$14:$B$213,MATCH(A1278,Bestand!$A$14:$A$213,0)),"ID unbekannt"))</f>
        <v/>
      </c>
      <c r="C1278" s="63" t="n"/>
      <c r="D1278" s="61" t="n"/>
      <c r="E1278" s="60" t="n"/>
      <c r="F1278" s="61" t="n"/>
    </row>
    <row r="1279">
      <c r="A1279" s="60" t="n"/>
      <c r="B1279" s="65">
        <f>IF(A1279="","",IFERROR(INDEX(Bestand!$B$14:$B$213,MATCH(A1279,Bestand!$A$14:$A$213,0)),"ID unbekannt"))</f>
        <v/>
      </c>
      <c r="C1279" s="63" t="n"/>
      <c r="D1279" s="61" t="n"/>
      <c r="E1279" s="60" t="n"/>
      <c r="F1279" s="61" t="n"/>
    </row>
    <row r="1280">
      <c r="A1280" s="60" t="n"/>
      <c r="B1280" s="65">
        <f>IF(A1280="","",IFERROR(INDEX(Bestand!$B$14:$B$213,MATCH(A1280,Bestand!$A$14:$A$213,0)),"ID unbekannt"))</f>
        <v/>
      </c>
      <c r="C1280" s="63" t="n"/>
      <c r="D1280" s="61" t="n"/>
      <c r="E1280" s="60" t="n"/>
      <c r="F1280" s="61" t="n"/>
    </row>
    <row r="1281">
      <c r="A1281" s="60" t="n"/>
      <c r="B1281" s="65">
        <f>IF(A1281="","",IFERROR(INDEX(Bestand!$B$14:$B$213,MATCH(A1281,Bestand!$A$14:$A$213,0)),"ID unbekannt"))</f>
        <v/>
      </c>
      <c r="C1281" s="63" t="n"/>
      <c r="D1281" s="61" t="n"/>
      <c r="E1281" s="60" t="n"/>
      <c r="F1281" s="61" t="n"/>
    </row>
    <row r="1282">
      <c r="A1282" s="60" t="n"/>
      <c r="B1282" s="65">
        <f>IF(A1282="","",IFERROR(INDEX(Bestand!$B$14:$B$213,MATCH(A1282,Bestand!$A$14:$A$213,0)),"ID unbekannt"))</f>
        <v/>
      </c>
      <c r="C1282" s="63" t="n"/>
      <c r="D1282" s="61" t="n"/>
      <c r="E1282" s="60" t="n"/>
      <c r="F1282" s="61" t="n"/>
    </row>
    <row r="1283">
      <c r="A1283" s="60" t="n"/>
      <c r="B1283" s="65">
        <f>IF(A1283="","",IFERROR(INDEX(Bestand!$B$14:$B$213,MATCH(A1283,Bestand!$A$14:$A$213,0)),"ID unbekannt"))</f>
        <v/>
      </c>
      <c r="C1283" s="63" t="n"/>
      <c r="D1283" s="61" t="n"/>
      <c r="E1283" s="60" t="n"/>
      <c r="F1283" s="61" t="n"/>
    </row>
    <row r="1284">
      <c r="A1284" s="60" t="n"/>
      <c r="B1284" s="65">
        <f>IF(A1284="","",IFERROR(INDEX(Bestand!$B$14:$B$213,MATCH(A1284,Bestand!$A$14:$A$213,0)),"ID unbekannt"))</f>
        <v/>
      </c>
      <c r="C1284" s="63" t="n"/>
      <c r="D1284" s="61" t="n"/>
      <c r="E1284" s="60" t="n"/>
      <c r="F1284" s="61" t="n"/>
    </row>
    <row r="1285">
      <c r="A1285" s="60" t="n"/>
      <c r="B1285" s="65">
        <f>IF(A1285="","",IFERROR(INDEX(Bestand!$B$14:$B$213,MATCH(A1285,Bestand!$A$14:$A$213,0)),"ID unbekannt"))</f>
        <v/>
      </c>
      <c r="C1285" s="63" t="n"/>
      <c r="D1285" s="61" t="n"/>
      <c r="E1285" s="60" t="n"/>
      <c r="F1285" s="61" t="n"/>
    </row>
    <row r="1286">
      <c r="A1286" s="60" t="n"/>
      <c r="B1286" s="65">
        <f>IF(A1286="","",IFERROR(INDEX(Bestand!$B$14:$B$213,MATCH(A1286,Bestand!$A$14:$A$213,0)),"ID unbekannt"))</f>
        <v/>
      </c>
      <c r="C1286" s="63" t="n"/>
      <c r="D1286" s="61" t="n"/>
      <c r="E1286" s="60" t="n"/>
      <c r="F1286" s="61" t="n"/>
    </row>
    <row r="1287">
      <c r="A1287" s="60" t="n"/>
      <c r="B1287" s="65">
        <f>IF(A1287="","",IFERROR(INDEX(Bestand!$B$14:$B$213,MATCH(A1287,Bestand!$A$14:$A$213,0)),"ID unbekannt"))</f>
        <v/>
      </c>
      <c r="C1287" s="63" t="n"/>
      <c r="D1287" s="61" t="n"/>
      <c r="E1287" s="60" t="n"/>
      <c r="F1287" s="61" t="n"/>
    </row>
    <row r="1288">
      <c r="A1288" s="60" t="n"/>
      <c r="B1288" s="65">
        <f>IF(A1288="","",IFERROR(INDEX(Bestand!$B$14:$B$213,MATCH(A1288,Bestand!$A$14:$A$213,0)),"ID unbekannt"))</f>
        <v/>
      </c>
      <c r="C1288" s="63" t="n"/>
      <c r="D1288" s="61" t="n"/>
      <c r="E1288" s="60" t="n"/>
      <c r="F1288" s="61" t="n"/>
    </row>
    <row r="1289">
      <c r="A1289" s="60" t="n"/>
      <c r="B1289" s="65">
        <f>IF(A1289="","",IFERROR(INDEX(Bestand!$B$14:$B$213,MATCH(A1289,Bestand!$A$14:$A$213,0)),"ID unbekannt"))</f>
        <v/>
      </c>
      <c r="C1289" s="63" t="n"/>
      <c r="D1289" s="61" t="n"/>
      <c r="E1289" s="60" t="n"/>
      <c r="F1289" s="61" t="n"/>
    </row>
    <row r="1290">
      <c r="A1290" s="60" t="n"/>
      <c r="B1290" s="65">
        <f>IF(A1290="","",IFERROR(INDEX(Bestand!$B$14:$B$213,MATCH(A1290,Bestand!$A$14:$A$213,0)),"ID unbekannt"))</f>
        <v/>
      </c>
      <c r="C1290" s="63" t="n"/>
      <c r="D1290" s="61" t="n"/>
      <c r="E1290" s="60" t="n"/>
      <c r="F1290" s="61" t="n"/>
    </row>
    <row r="1291">
      <c r="A1291" s="60" t="n"/>
      <c r="B1291" s="65">
        <f>IF(A1291="","",IFERROR(INDEX(Bestand!$B$14:$B$213,MATCH(A1291,Bestand!$A$14:$A$213,0)),"ID unbekannt"))</f>
        <v/>
      </c>
      <c r="C1291" s="63" t="n"/>
      <c r="D1291" s="61" t="n"/>
      <c r="E1291" s="60" t="n"/>
      <c r="F1291" s="61" t="n"/>
    </row>
    <row r="1292">
      <c r="A1292" s="60" t="n"/>
      <c r="B1292" s="65">
        <f>IF(A1292="","",IFERROR(INDEX(Bestand!$B$14:$B$213,MATCH(A1292,Bestand!$A$14:$A$213,0)),"ID unbekannt"))</f>
        <v/>
      </c>
      <c r="C1292" s="63" t="n"/>
      <c r="D1292" s="61" t="n"/>
      <c r="E1292" s="60" t="n"/>
      <c r="F1292" s="61" t="n"/>
    </row>
    <row r="1293">
      <c r="A1293" s="60" t="n"/>
      <c r="B1293" s="65">
        <f>IF(A1293="","",IFERROR(INDEX(Bestand!$B$14:$B$213,MATCH(A1293,Bestand!$A$14:$A$213,0)),"ID unbekannt"))</f>
        <v/>
      </c>
      <c r="C1293" s="63" t="n"/>
      <c r="D1293" s="61" t="n"/>
      <c r="E1293" s="60" t="n"/>
      <c r="F1293" s="61" t="n"/>
    </row>
    <row r="1294">
      <c r="A1294" s="60" t="n"/>
      <c r="B1294" s="65">
        <f>IF(A1294="","",IFERROR(INDEX(Bestand!$B$14:$B$213,MATCH(A1294,Bestand!$A$14:$A$213,0)),"ID unbekannt"))</f>
        <v/>
      </c>
      <c r="C1294" s="63" t="n"/>
      <c r="D1294" s="61" t="n"/>
      <c r="E1294" s="60" t="n"/>
      <c r="F1294" s="61" t="n"/>
    </row>
    <row r="1295">
      <c r="A1295" s="60" t="n"/>
      <c r="B1295" s="65">
        <f>IF(A1295="","",IFERROR(INDEX(Bestand!$B$14:$B$213,MATCH(A1295,Bestand!$A$14:$A$213,0)),"ID unbekannt"))</f>
        <v/>
      </c>
      <c r="C1295" s="63" t="n"/>
      <c r="D1295" s="61" t="n"/>
      <c r="E1295" s="60" t="n"/>
      <c r="F1295" s="61" t="n"/>
    </row>
    <row r="1296">
      <c r="A1296" s="60" t="n"/>
      <c r="B1296" s="65">
        <f>IF(A1296="","",IFERROR(INDEX(Bestand!$B$14:$B$213,MATCH(A1296,Bestand!$A$14:$A$213,0)),"ID unbekannt"))</f>
        <v/>
      </c>
      <c r="C1296" s="63" t="n"/>
      <c r="D1296" s="61" t="n"/>
      <c r="E1296" s="60" t="n"/>
      <c r="F1296" s="61" t="n"/>
    </row>
    <row r="1297">
      <c r="A1297" s="60" t="n"/>
      <c r="B1297" s="65">
        <f>IF(A1297="","",IFERROR(INDEX(Bestand!$B$14:$B$213,MATCH(A1297,Bestand!$A$14:$A$213,0)),"ID unbekannt"))</f>
        <v/>
      </c>
      <c r="C1297" s="63" t="n"/>
      <c r="D1297" s="61" t="n"/>
      <c r="E1297" s="60" t="n"/>
      <c r="F1297" s="61" t="n"/>
    </row>
    <row r="1298">
      <c r="A1298" s="60" t="n"/>
      <c r="B1298" s="65">
        <f>IF(A1298="","",IFERROR(INDEX(Bestand!$B$14:$B$213,MATCH(A1298,Bestand!$A$14:$A$213,0)),"ID unbekannt"))</f>
        <v/>
      </c>
      <c r="C1298" s="63" t="n"/>
      <c r="D1298" s="61" t="n"/>
      <c r="E1298" s="60" t="n"/>
      <c r="F1298" s="61" t="n"/>
    </row>
    <row r="1299">
      <c r="A1299" s="60" t="n"/>
      <c r="B1299" s="65">
        <f>IF(A1299="","",IFERROR(INDEX(Bestand!$B$14:$B$213,MATCH(A1299,Bestand!$A$14:$A$213,0)),"ID unbekannt"))</f>
        <v/>
      </c>
      <c r="C1299" s="63" t="n"/>
      <c r="D1299" s="61" t="n"/>
      <c r="E1299" s="60" t="n"/>
      <c r="F1299" s="61" t="n"/>
    </row>
    <row r="1300">
      <c r="A1300" s="60" t="n"/>
      <c r="B1300" s="65">
        <f>IF(A1300="","",IFERROR(INDEX(Bestand!$B$14:$B$213,MATCH(A1300,Bestand!$A$14:$A$213,0)),"ID unbekannt"))</f>
        <v/>
      </c>
      <c r="C1300" s="63" t="n"/>
      <c r="D1300" s="61" t="n"/>
      <c r="E1300" s="60" t="n"/>
      <c r="F1300" s="61" t="n"/>
    </row>
    <row r="1301">
      <c r="A1301" s="60" t="n"/>
      <c r="B1301" s="65">
        <f>IF(A1301="","",IFERROR(INDEX(Bestand!$B$14:$B$213,MATCH(A1301,Bestand!$A$14:$A$213,0)),"ID unbekannt"))</f>
        <v/>
      </c>
      <c r="C1301" s="63" t="n"/>
      <c r="D1301" s="61" t="n"/>
      <c r="E1301" s="60" t="n"/>
      <c r="F1301" s="61" t="n"/>
    </row>
    <row r="1302">
      <c r="A1302" s="60" t="n"/>
      <c r="B1302" s="65">
        <f>IF(A1302="","",IFERROR(INDEX(Bestand!$B$14:$B$213,MATCH(A1302,Bestand!$A$14:$A$213,0)),"ID unbekannt"))</f>
        <v/>
      </c>
      <c r="C1302" s="63" t="n"/>
      <c r="D1302" s="61" t="n"/>
      <c r="E1302" s="60" t="n"/>
      <c r="F1302" s="61" t="n"/>
    </row>
    <row r="1303">
      <c r="A1303" s="60" t="n"/>
      <c r="B1303" s="65">
        <f>IF(A1303="","",IFERROR(INDEX(Bestand!$B$14:$B$213,MATCH(A1303,Bestand!$A$14:$A$213,0)),"ID unbekannt"))</f>
        <v/>
      </c>
      <c r="C1303" s="63" t="n"/>
      <c r="D1303" s="61" t="n"/>
      <c r="E1303" s="60" t="n"/>
      <c r="F1303" s="61" t="n"/>
    </row>
    <row r="1304">
      <c r="A1304" s="60" t="n"/>
      <c r="B1304" s="65">
        <f>IF(A1304="","",IFERROR(INDEX(Bestand!$B$14:$B$213,MATCH(A1304,Bestand!$A$14:$A$213,0)),"ID unbekannt"))</f>
        <v/>
      </c>
      <c r="C1304" s="63" t="n"/>
      <c r="D1304" s="61" t="n"/>
      <c r="E1304" s="60" t="n"/>
      <c r="F1304" s="61" t="n"/>
    </row>
    <row r="1305">
      <c r="A1305" s="60" t="n"/>
      <c r="B1305" s="65">
        <f>IF(A1305="","",IFERROR(INDEX(Bestand!$B$14:$B$213,MATCH(A1305,Bestand!$A$14:$A$213,0)),"ID unbekannt"))</f>
        <v/>
      </c>
      <c r="C1305" s="63" t="n"/>
      <c r="D1305" s="61" t="n"/>
      <c r="E1305" s="60" t="n"/>
      <c r="F1305" s="61" t="n"/>
    </row>
    <row r="1306">
      <c r="A1306" s="60" t="n"/>
      <c r="B1306" s="65">
        <f>IF(A1306="","",IFERROR(INDEX(Bestand!$B$14:$B$213,MATCH(A1306,Bestand!$A$14:$A$213,0)),"ID unbekannt"))</f>
        <v/>
      </c>
      <c r="C1306" s="63" t="n"/>
      <c r="D1306" s="61" t="n"/>
      <c r="E1306" s="60" t="n"/>
      <c r="F1306" s="61" t="n"/>
    </row>
    <row r="1307">
      <c r="A1307" s="60" t="n"/>
      <c r="B1307" s="65">
        <f>IF(A1307="","",IFERROR(INDEX(Bestand!$B$14:$B$213,MATCH(A1307,Bestand!$A$14:$A$213,0)),"ID unbekannt"))</f>
        <v/>
      </c>
      <c r="C1307" s="63" t="n"/>
      <c r="D1307" s="61" t="n"/>
      <c r="E1307" s="60" t="n"/>
      <c r="F1307" s="61" t="n"/>
    </row>
    <row r="1308">
      <c r="A1308" s="60" t="n"/>
      <c r="B1308" s="65">
        <f>IF(A1308="","",IFERROR(INDEX(Bestand!$B$14:$B$213,MATCH(A1308,Bestand!$A$14:$A$213,0)),"ID unbekannt"))</f>
        <v/>
      </c>
      <c r="C1308" s="63" t="n"/>
      <c r="D1308" s="61" t="n"/>
      <c r="E1308" s="60" t="n"/>
      <c r="F1308" s="61" t="n"/>
    </row>
    <row r="1309">
      <c r="A1309" s="60" t="n"/>
      <c r="B1309" s="65">
        <f>IF(A1309="","",IFERROR(INDEX(Bestand!$B$14:$B$213,MATCH(A1309,Bestand!$A$14:$A$213,0)),"ID unbekannt"))</f>
        <v/>
      </c>
      <c r="C1309" s="63" t="n"/>
      <c r="D1309" s="61" t="n"/>
      <c r="E1309" s="60" t="n"/>
      <c r="F1309" s="61" t="n"/>
    </row>
    <row r="1310">
      <c r="A1310" s="60" t="n"/>
      <c r="B1310" s="65">
        <f>IF(A1310="","",IFERROR(INDEX(Bestand!$B$14:$B$213,MATCH(A1310,Bestand!$A$14:$A$213,0)),"ID unbekannt"))</f>
        <v/>
      </c>
      <c r="C1310" s="63" t="n"/>
      <c r="D1310" s="61" t="n"/>
      <c r="E1310" s="60" t="n"/>
      <c r="F1310" s="61" t="n"/>
    </row>
    <row r="1311">
      <c r="A1311" s="60" t="n"/>
      <c r="B1311" s="65">
        <f>IF(A1311="","",IFERROR(INDEX(Bestand!$B$14:$B$213,MATCH(A1311,Bestand!$A$14:$A$213,0)),"ID unbekannt"))</f>
        <v/>
      </c>
      <c r="C1311" s="63" t="n"/>
      <c r="D1311" s="61" t="n"/>
      <c r="E1311" s="60" t="n"/>
      <c r="F1311" s="61" t="n"/>
    </row>
    <row r="1312">
      <c r="A1312" s="60" t="n"/>
      <c r="B1312" s="65">
        <f>IF(A1312="","",IFERROR(INDEX(Bestand!$B$14:$B$213,MATCH(A1312,Bestand!$A$14:$A$213,0)),"ID unbekannt"))</f>
        <v/>
      </c>
      <c r="C1312" s="63" t="n"/>
      <c r="D1312" s="61" t="n"/>
      <c r="E1312" s="60" t="n"/>
      <c r="F1312" s="61" t="n"/>
    </row>
    <row r="1313">
      <c r="A1313" s="60" t="n"/>
      <c r="B1313" s="65">
        <f>IF(A1313="","",IFERROR(INDEX(Bestand!$B$14:$B$213,MATCH(A1313,Bestand!$A$14:$A$213,0)),"ID unbekannt"))</f>
        <v/>
      </c>
      <c r="C1313" s="63" t="n"/>
      <c r="D1313" s="61" t="n"/>
      <c r="E1313" s="60" t="n"/>
      <c r="F1313" s="61" t="n"/>
    </row>
    <row r="1314">
      <c r="A1314" s="60" t="n"/>
      <c r="B1314" s="65">
        <f>IF(A1314="","",IFERROR(INDEX(Bestand!$B$14:$B$213,MATCH(A1314,Bestand!$A$14:$A$213,0)),"ID unbekannt"))</f>
        <v/>
      </c>
      <c r="C1314" s="63" t="n"/>
      <c r="D1314" s="61" t="n"/>
      <c r="E1314" s="60" t="n"/>
      <c r="F1314" s="61" t="n"/>
    </row>
    <row r="1315">
      <c r="A1315" s="60" t="n"/>
      <c r="B1315" s="65">
        <f>IF(A1315="","",IFERROR(INDEX(Bestand!$B$14:$B$213,MATCH(A1315,Bestand!$A$14:$A$213,0)),"ID unbekannt"))</f>
        <v/>
      </c>
      <c r="C1315" s="63" t="n"/>
      <c r="D1315" s="61" t="n"/>
      <c r="E1315" s="60" t="n"/>
      <c r="F1315" s="61" t="n"/>
    </row>
    <row r="1316">
      <c r="A1316" s="60" t="n"/>
      <c r="B1316" s="65">
        <f>IF(A1316="","",IFERROR(INDEX(Bestand!$B$14:$B$213,MATCH(A1316,Bestand!$A$14:$A$213,0)),"ID unbekannt"))</f>
        <v/>
      </c>
      <c r="C1316" s="63" t="n"/>
      <c r="D1316" s="61" t="n"/>
      <c r="E1316" s="60" t="n"/>
      <c r="F1316" s="61" t="n"/>
    </row>
    <row r="1317">
      <c r="A1317" s="60" t="n"/>
      <c r="B1317" s="65">
        <f>IF(A1317="","",IFERROR(INDEX(Bestand!$B$14:$B$213,MATCH(A1317,Bestand!$A$14:$A$213,0)),"ID unbekannt"))</f>
        <v/>
      </c>
      <c r="C1317" s="63" t="n"/>
      <c r="D1317" s="61" t="n"/>
      <c r="E1317" s="60" t="n"/>
      <c r="F1317" s="61" t="n"/>
    </row>
    <row r="1318">
      <c r="A1318" s="60" t="n"/>
      <c r="B1318" s="65">
        <f>IF(A1318="","",IFERROR(INDEX(Bestand!$B$14:$B$213,MATCH(A1318,Bestand!$A$14:$A$213,0)),"ID unbekannt"))</f>
        <v/>
      </c>
      <c r="C1318" s="63" t="n"/>
      <c r="D1318" s="61" t="n"/>
      <c r="E1318" s="60" t="n"/>
      <c r="F1318" s="61" t="n"/>
    </row>
    <row r="1319">
      <c r="A1319" s="60" t="n"/>
      <c r="B1319" s="65">
        <f>IF(A1319="","",IFERROR(INDEX(Bestand!$B$14:$B$213,MATCH(A1319,Bestand!$A$14:$A$213,0)),"ID unbekannt"))</f>
        <v/>
      </c>
      <c r="C1319" s="63" t="n"/>
      <c r="D1319" s="61" t="n"/>
      <c r="E1319" s="60" t="n"/>
      <c r="F1319" s="61" t="n"/>
    </row>
    <row r="1320">
      <c r="A1320" s="60" t="n"/>
      <c r="B1320" s="65">
        <f>IF(A1320="","",IFERROR(INDEX(Bestand!$B$14:$B$213,MATCH(A1320,Bestand!$A$14:$A$213,0)),"ID unbekannt"))</f>
        <v/>
      </c>
      <c r="C1320" s="63" t="n"/>
      <c r="D1320" s="61" t="n"/>
      <c r="E1320" s="60" t="n"/>
      <c r="F1320" s="61" t="n"/>
    </row>
    <row r="1321">
      <c r="A1321" s="60" t="n"/>
      <c r="B1321" s="65">
        <f>IF(A1321="","",IFERROR(INDEX(Bestand!$B$14:$B$213,MATCH(A1321,Bestand!$A$14:$A$213,0)),"ID unbekannt"))</f>
        <v/>
      </c>
      <c r="C1321" s="63" t="n"/>
      <c r="D1321" s="61" t="n"/>
      <c r="E1321" s="60" t="n"/>
      <c r="F1321" s="61" t="n"/>
    </row>
    <row r="1322">
      <c r="A1322" s="60" t="n"/>
      <c r="B1322" s="65">
        <f>IF(A1322="","",IFERROR(INDEX(Bestand!$B$14:$B$213,MATCH(A1322,Bestand!$A$14:$A$213,0)),"ID unbekannt"))</f>
        <v/>
      </c>
      <c r="C1322" s="63" t="n"/>
      <c r="D1322" s="61" t="n"/>
      <c r="E1322" s="60" t="n"/>
      <c r="F1322" s="61" t="n"/>
    </row>
    <row r="1323">
      <c r="A1323" s="60" t="n"/>
      <c r="B1323" s="65">
        <f>IF(A1323="","",IFERROR(INDEX(Bestand!$B$14:$B$213,MATCH(A1323,Bestand!$A$14:$A$213,0)),"ID unbekannt"))</f>
        <v/>
      </c>
      <c r="C1323" s="63" t="n"/>
      <c r="D1323" s="61" t="n"/>
      <c r="E1323" s="60" t="n"/>
      <c r="F1323" s="61" t="n"/>
    </row>
    <row r="1324">
      <c r="A1324" s="60" t="n"/>
      <c r="B1324" s="65">
        <f>IF(A1324="","",IFERROR(INDEX(Bestand!$B$14:$B$213,MATCH(A1324,Bestand!$A$14:$A$213,0)),"ID unbekannt"))</f>
        <v/>
      </c>
      <c r="C1324" s="63" t="n"/>
      <c r="D1324" s="61" t="n"/>
      <c r="E1324" s="60" t="n"/>
      <c r="F1324" s="61" t="n"/>
    </row>
    <row r="1325">
      <c r="A1325" s="60" t="n"/>
      <c r="B1325" s="65">
        <f>IF(A1325="","",IFERROR(INDEX(Bestand!$B$14:$B$213,MATCH(A1325,Bestand!$A$14:$A$213,0)),"ID unbekannt"))</f>
        <v/>
      </c>
      <c r="C1325" s="63" t="n"/>
      <c r="D1325" s="61" t="n"/>
      <c r="E1325" s="60" t="n"/>
      <c r="F1325" s="61" t="n"/>
    </row>
    <row r="1326">
      <c r="A1326" s="60" t="n"/>
      <c r="B1326" s="65">
        <f>IF(A1326="","",IFERROR(INDEX(Bestand!$B$14:$B$213,MATCH(A1326,Bestand!$A$14:$A$213,0)),"ID unbekannt"))</f>
        <v/>
      </c>
      <c r="C1326" s="63" t="n"/>
      <c r="D1326" s="61" t="n"/>
      <c r="E1326" s="60" t="n"/>
      <c r="F1326" s="61" t="n"/>
    </row>
    <row r="1327">
      <c r="A1327" s="60" t="n"/>
      <c r="B1327" s="65">
        <f>IF(A1327="","",IFERROR(INDEX(Bestand!$B$14:$B$213,MATCH(A1327,Bestand!$A$14:$A$213,0)),"ID unbekannt"))</f>
        <v/>
      </c>
      <c r="C1327" s="63" t="n"/>
      <c r="D1327" s="61" t="n"/>
      <c r="E1327" s="60" t="n"/>
      <c r="F1327" s="61" t="n"/>
    </row>
    <row r="1328">
      <c r="A1328" s="60" t="n"/>
      <c r="B1328" s="65">
        <f>IF(A1328="","",IFERROR(INDEX(Bestand!$B$14:$B$213,MATCH(A1328,Bestand!$A$14:$A$213,0)),"ID unbekannt"))</f>
        <v/>
      </c>
      <c r="C1328" s="63" t="n"/>
      <c r="D1328" s="61" t="n"/>
      <c r="E1328" s="60" t="n"/>
      <c r="F1328" s="61" t="n"/>
    </row>
    <row r="1329">
      <c r="A1329" s="60" t="n"/>
      <c r="B1329" s="65">
        <f>IF(A1329="","",IFERROR(INDEX(Bestand!$B$14:$B$213,MATCH(A1329,Bestand!$A$14:$A$213,0)),"ID unbekannt"))</f>
        <v/>
      </c>
      <c r="C1329" s="63" t="n"/>
      <c r="D1329" s="61" t="n"/>
      <c r="E1329" s="60" t="n"/>
      <c r="F1329" s="61" t="n"/>
    </row>
    <row r="1330">
      <c r="A1330" s="60" t="n"/>
      <c r="B1330" s="65">
        <f>IF(A1330="","",IFERROR(INDEX(Bestand!$B$14:$B$213,MATCH(A1330,Bestand!$A$14:$A$213,0)),"ID unbekannt"))</f>
        <v/>
      </c>
      <c r="C1330" s="63" t="n"/>
      <c r="D1330" s="61" t="n"/>
      <c r="E1330" s="60" t="n"/>
      <c r="F1330" s="61" t="n"/>
    </row>
    <row r="1331">
      <c r="A1331" s="60" t="n"/>
      <c r="B1331" s="65">
        <f>IF(A1331="","",IFERROR(INDEX(Bestand!$B$14:$B$213,MATCH(A1331,Bestand!$A$14:$A$213,0)),"ID unbekannt"))</f>
        <v/>
      </c>
      <c r="C1331" s="63" t="n"/>
      <c r="D1331" s="61" t="n"/>
      <c r="E1331" s="60" t="n"/>
      <c r="F1331" s="61" t="n"/>
    </row>
    <row r="1332">
      <c r="A1332" s="60" t="n"/>
      <c r="B1332" s="65">
        <f>IF(A1332="","",IFERROR(INDEX(Bestand!$B$14:$B$213,MATCH(A1332,Bestand!$A$14:$A$213,0)),"ID unbekannt"))</f>
        <v/>
      </c>
      <c r="C1332" s="63" t="n"/>
      <c r="D1332" s="61" t="n"/>
      <c r="E1332" s="60" t="n"/>
      <c r="F1332" s="61" t="n"/>
    </row>
    <row r="1333">
      <c r="A1333" s="60" t="n"/>
      <c r="B1333" s="65">
        <f>IF(A1333="","",IFERROR(INDEX(Bestand!$B$14:$B$213,MATCH(A1333,Bestand!$A$14:$A$213,0)),"ID unbekannt"))</f>
        <v/>
      </c>
      <c r="C1333" s="63" t="n"/>
      <c r="D1333" s="61" t="n"/>
      <c r="E1333" s="60" t="n"/>
      <c r="F1333" s="61" t="n"/>
    </row>
    <row r="1334">
      <c r="A1334" s="60" t="n"/>
      <c r="B1334" s="65">
        <f>IF(A1334="","",IFERROR(INDEX(Bestand!$B$14:$B$213,MATCH(A1334,Bestand!$A$14:$A$213,0)),"ID unbekannt"))</f>
        <v/>
      </c>
      <c r="C1334" s="63" t="n"/>
      <c r="D1334" s="61" t="n"/>
      <c r="E1334" s="60" t="n"/>
      <c r="F1334" s="61" t="n"/>
    </row>
    <row r="1335">
      <c r="A1335" s="60" t="n"/>
      <c r="B1335" s="65">
        <f>IF(A1335="","",IFERROR(INDEX(Bestand!$B$14:$B$213,MATCH(A1335,Bestand!$A$14:$A$213,0)),"ID unbekannt"))</f>
        <v/>
      </c>
      <c r="C1335" s="63" t="n"/>
      <c r="D1335" s="61" t="n"/>
      <c r="E1335" s="60" t="n"/>
      <c r="F1335" s="61" t="n"/>
    </row>
    <row r="1336">
      <c r="A1336" s="60" t="n"/>
      <c r="B1336" s="65">
        <f>IF(A1336="","",IFERROR(INDEX(Bestand!$B$14:$B$213,MATCH(A1336,Bestand!$A$14:$A$213,0)),"ID unbekannt"))</f>
        <v/>
      </c>
      <c r="C1336" s="63" t="n"/>
      <c r="D1336" s="61" t="n"/>
      <c r="E1336" s="60" t="n"/>
      <c r="F1336" s="61" t="n"/>
    </row>
    <row r="1337">
      <c r="A1337" s="60" t="n"/>
      <c r="B1337" s="65">
        <f>IF(A1337="","",IFERROR(INDEX(Bestand!$B$14:$B$213,MATCH(A1337,Bestand!$A$14:$A$213,0)),"ID unbekannt"))</f>
        <v/>
      </c>
      <c r="C1337" s="63" t="n"/>
      <c r="D1337" s="61" t="n"/>
      <c r="E1337" s="60" t="n"/>
      <c r="F1337" s="61" t="n"/>
    </row>
    <row r="1338">
      <c r="A1338" s="60" t="n"/>
      <c r="B1338" s="65">
        <f>IF(A1338="","",IFERROR(INDEX(Bestand!$B$14:$B$213,MATCH(A1338,Bestand!$A$14:$A$213,0)),"ID unbekannt"))</f>
        <v/>
      </c>
      <c r="C1338" s="63" t="n"/>
      <c r="D1338" s="61" t="n"/>
      <c r="E1338" s="60" t="n"/>
      <c r="F1338" s="61" t="n"/>
    </row>
    <row r="1339">
      <c r="A1339" s="60" t="n"/>
      <c r="B1339" s="65">
        <f>IF(A1339="","",IFERROR(INDEX(Bestand!$B$14:$B$213,MATCH(A1339,Bestand!$A$14:$A$213,0)),"ID unbekannt"))</f>
        <v/>
      </c>
      <c r="C1339" s="63" t="n"/>
      <c r="D1339" s="61" t="n"/>
      <c r="E1339" s="60" t="n"/>
      <c r="F1339" s="61" t="n"/>
    </row>
    <row r="1340">
      <c r="A1340" s="60" t="n"/>
      <c r="B1340" s="65">
        <f>IF(A1340="","",IFERROR(INDEX(Bestand!$B$14:$B$213,MATCH(A1340,Bestand!$A$14:$A$213,0)),"ID unbekannt"))</f>
        <v/>
      </c>
      <c r="C1340" s="63" t="n"/>
      <c r="D1340" s="61" t="n"/>
      <c r="E1340" s="60" t="n"/>
      <c r="F1340" s="61" t="n"/>
    </row>
    <row r="1341">
      <c r="A1341" s="60" t="n"/>
      <c r="B1341" s="65">
        <f>IF(A1341="","",IFERROR(INDEX(Bestand!$B$14:$B$213,MATCH(A1341,Bestand!$A$14:$A$213,0)),"ID unbekannt"))</f>
        <v/>
      </c>
      <c r="C1341" s="63" t="n"/>
      <c r="D1341" s="61" t="n"/>
      <c r="E1341" s="60" t="n"/>
      <c r="F1341" s="61" t="n"/>
    </row>
    <row r="1342">
      <c r="A1342" s="60" t="n"/>
      <c r="B1342" s="65">
        <f>IF(A1342="","",IFERROR(INDEX(Bestand!$B$14:$B$213,MATCH(A1342,Bestand!$A$14:$A$213,0)),"ID unbekannt"))</f>
        <v/>
      </c>
      <c r="C1342" s="63" t="n"/>
      <c r="D1342" s="61" t="n"/>
      <c r="E1342" s="60" t="n"/>
      <c r="F1342" s="61" t="n"/>
    </row>
    <row r="1343">
      <c r="A1343" s="60" t="n"/>
      <c r="B1343" s="65">
        <f>IF(A1343="","",IFERROR(INDEX(Bestand!$B$14:$B$213,MATCH(A1343,Bestand!$A$14:$A$213,0)),"ID unbekannt"))</f>
        <v/>
      </c>
      <c r="C1343" s="63" t="n"/>
      <c r="D1343" s="61" t="n"/>
      <c r="E1343" s="60" t="n"/>
      <c r="F1343" s="61" t="n"/>
    </row>
    <row r="1344">
      <c r="A1344" s="60" t="n"/>
      <c r="B1344" s="65">
        <f>IF(A1344="","",IFERROR(INDEX(Bestand!$B$14:$B$213,MATCH(A1344,Bestand!$A$14:$A$213,0)),"ID unbekannt"))</f>
        <v/>
      </c>
      <c r="C1344" s="63" t="n"/>
      <c r="D1344" s="61" t="n"/>
      <c r="E1344" s="60" t="n"/>
      <c r="F1344" s="61" t="n"/>
    </row>
    <row r="1345">
      <c r="A1345" s="60" t="n"/>
      <c r="B1345" s="65">
        <f>IF(A1345="","",IFERROR(INDEX(Bestand!$B$14:$B$213,MATCH(A1345,Bestand!$A$14:$A$213,0)),"ID unbekannt"))</f>
        <v/>
      </c>
      <c r="C1345" s="63" t="n"/>
      <c r="D1345" s="61" t="n"/>
      <c r="E1345" s="60" t="n"/>
      <c r="F1345" s="61" t="n"/>
    </row>
    <row r="1346">
      <c r="A1346" s="60" t="n"/>
      <c r="B1346" s="65">
        <f>IF(A1346="","",IFERROR(INDEX(Bestand!$B$14:$B$213,MATCH(A1346,Bestand!$A$14:$A$213,0)),"ID unbekannt"))</f>
        <v/>
      </c>
      <c r="C1346" s="63" t="n"/>
      <c r="D1346" s="61" t="n"/>
      <c r="E1346" s="60" t="n"/>
      <c r="F1346" s="61" t="n"/>
    </row>
    <row r="1347">
      <c r="A1347" s="60" t="n"/>
      <c r="B1347" s="65">
        <f>IF(A1347="","",IFERROR(INDEX(Bestand!$B$14:$B$213,MATCH(A1347,Bestand!$A$14:$A$213,0)),"ID unbekannt"))</f>
        <v/>
      </c>
      <c r="C1347" s="63" t="n"/>
      <c r="D1347" s="61" t="n"/>
      <c r="E1347" s="60" t="n"/>
      <c r="F1347" s="61" t="n"/>
    </row>
    <row r="1348">
      <c r="A1348" s="60" t="n"/>
      <c r="B1348" s="65">
        <f>IF(A1348="","",IFERROR(INDEX(Bestand!$B$14:$B$213,MATCH(A1348,Bestand!$A$14:$A$213,0)),"ID unbekannt"))</f>
        <v/>
      </c>
      <c r="C1348" s="63" t="n"/>
      <c r="D1348" s="61" t="n"/>
      <c r="E1348" s="60" t="n"/>
      <c r="F1348" s="61" t="n"/>
    </row>
    <row r="1349">
      <c r="A1349" s="60" t="n"/>
      <c r="B1349" s="65">
        <f>IF(A1349="","",IFERROR(INDEX(Bestand!$B$14:$B$213,MATCH(A1349,Bestand!$A$14:$A$213,0)),"ID unbekannt"))</f>
        <v/>
      </c>
      <c r="C1349" s="63" t="n"/>
      <c r="D1349" s="61" t="n"/>
      <c r="E1349" s="60" t="n"/>
      <c r="F1349" s="61" t="n"/>
    </row>
    <row r="1350">
      <c r="A1350" s="60" t="n"/>
      <c r="B1350" s="65">
        <f>IF(A1350="","",IFERROR(INDEX(Bestand!$B$14:$B$213,MATCH(A1350,Bestand!$A$14:$A$213,0)),"ID unbekannt"))</f>
        <v/>
      </c>
      <c r="C1350" s="63" t="n"/>
      <c r="D1350" s="61" t="n"/>
      <c r="E1350" s="60" t="n"/>
      <c r="F1350" s="61" t="n"/>
    </row>
    <row r="1351">
      <c r="A1351" s="60" t="n"/>
      <c r="B1351" s="65">
        <f>IF(A1351="","",IFERROR(INDEX(Bestand!$B$14:$B$213,MATCH(A1351,Bestand!$A$14:$A$213,0)),"ID unbekannt"))</f>
        <v/>
      </c>
      <c r="C1351" s="63" t="n"/>
      <c r="D1351" s="61" t="n"/>
      <c r="E1351" s="60" t="n"/>
      <c r="F1351" s="61" t="n"/>
    </row>
    <row r="1352">
      <c r="A1352" s="60" t="n"/>
      <c r="B1352" s="65">
        <f>IF(A1352="","",IFERROR(INDEX(Bestand!$B$14:$B$213,MATCH(A1352,Bestand!$A$14:$A$213,0)),"ID unbekannt"))</f>
        <v/>
      </c>
      <c r="C1352" s="63" t="n"/>
      <c r="D1352" s="61" t="n"/>
      <c r="E1352" s="60" t="n"/>
      <c r="F1352" s="61" t="n"/>
    </row>
    <row r="1353">
      <c r="A1353" s="60" t="n"/>
      <c r="B1353" s="65">
        <f>IF(A1353="","",IFERROR(INDEX(Bestand!$B$14:$B$213,MATCH(A1353,Bestand!$A$14:$A$213,0)),"ID unbekannt"))</f>
        <v/>
      </c>
      <c r="C1353" s="63" t="n"/>
      <c r="D1353" s="61" t="n"/>
      <c r="E1353" s="60" t="n"/>
      <c r="F1353" s="61" t="n"/>
    </row>
    <row r="1354">
      <c r="A1354" s="60" t="n"/>
      <c r="B1354" s="65">
        <f>IF(A1354="","",IFERROR(INDEX(Bestand!$B$14:$B$213,MATCH(A1354,Bestand!$A$14:$A$213,0)),"ID unbekannt"))</f>
        <v/>
      </c>
      <c r="C1354" s="63" t="n"/>
      <c r="D1354" s="61" t="n"/>
      <c r="E1354" s="60" t="n"/>
      <c r="F1354" s="61" t="n"/>
    </row>
    <row r="1355">
      <c r="A1355" s="60" t="n"/>
      <c r="B1355" s="65">
        <f>IF(A1355="","",IFERROR(INDEX(Bestand!$B$14:$B$213,MATCH(A1355,Bestand!$A$14:$A$213,0)),"ID unbekannt"))</f>
        <v/>
      </c>
      <c r="C1355" s="63" t="n"/>
      <c r="D1355" s="61" t="n"/>
      <c r="E1355" s="60" t="n"/>
      <c r="F1355" s="61" t="n"/>
    </row>
    <row r="1356">
      <c r="A1356" s="60" t="n"/>
      <c r="B1356" s="65">
        <f>IF(A1356="","",IFERROR(INDEX(Bestand!$B$14:$B$213,MATCH(A1356,Bestand!$A$14:$A$213,0)),"ID unbekannt"))</f>
        <v/>
      </c>
      <c r="C1356" s="63" t="n"/>
      <c r="D1356" s="61" t="n"/>
      <c r="E1356" s="60" t="n"/>
      <c r="F1356" s="61" t="n"/>
    </row>
    <row r="1357">
      <c r="A1357" s="60" t="n"/>
      <c r="B1357" s="65">
        <f>IF(A1357="","",IFERROR(INDEX(Bestand!$B$14:$B$213,MATCH(A1357,Bestand!$A$14:$A$213,0)),"ID unbekannt"))</f>
        <v/>
      </c>
      <c r="C1357" s="63" t="n"/>
      <c r="D1357" s="61" t="n"/>
      <c r="E1357" s="60" t="n"/>
      <c r="F1357" s="61" t="n"/>
    </row>
    <row r="1358">
      <c r="A1358" s="60" t="n"/>
      <c r="B1358" s="65">
        <f>IF(A1358="","",IFERROR(INDEX(Bestand!$B$14:$B$213,MATCH(A1358,Bestand!$A$14:$A$213,0)),"ID unbekannt"))</f>
        <v/>
      </c>
      <c r="C1358" s="63" t="n"/>
      <c r="D1358" s="61" t="n"/>
      <c r="E1358" s="60" t="n"/>
      <c r="F1358" s="61" t="n"/>
    </row>
    <row r="1359">
      <c r="A1359" s="60" t="n"/>
      <c r="B1359" s="65">
        <f>IF(A1359="","",IFERROR(INDEX(Bestand!$B$14:$B$213,MATCH(A1359,Bestand!$A$14:$A$213,0)),"ID unbekannt"))</f>
        <v/>
      </c>
      <c r="C1359" s="63" t="n"/>
      <c r="D1359" s="61" t="n"/>
      <c r="E1359" s="60" t="n"/>
      <c r="F1359" s="61" t="n"/>
    </row>
    <row r="1360">
      <c r="A1360" s="60" t="n"/>
      <c r="B1360" s="65">
        <f>IF(A1360="","",IFERROR(INDEX(Bestand!$B$14:$B$213,MATCH(A1360,Bestand!$A$14:$A$213,0)),"ID unbekannt"))</f>
        <v/>
      </c>
      <c r="C1360" s="63" t="n"/>
      <c r="D1360" s="61" t="n"/>
      <c r="E1360" s="60" t="n"/>
      <c r="F1360" s="61" t="n"/>
    </row>
    <row r="1361">
      <c r="A1361" s="60" t="n"/>
      <c r="B1361" s="65">
        <f>IF(A1361="","",IFERROR(INDEX(Bestand!$B$14:$B$213,MATCH(A1361,Bestand!$A$14:$A$213,0)),"ID unbekannt"))</f>
        <v/>
      </c>
      <c r="C1361" s="63" t="n"/>
      <c r="D1361" s="61" t="n"/>
      <c r="E1361" s="60" t="n"/>
      <c r="F1361" s="61" t="n"/>
    </row>
    <row r="1362">
      <c r="A1362" s="60" t="n"/>
      <c r="B1362" s="65">
        <f>IF(A1362="","",IFERROR(INDEX(Bestand!$B$14:$B$213,MATCH(A1362,Bestand!$A$14:$A$213,0)),"ID unbekannt"))</f>
        <v/>
      </c>
      <c r="C1362" s="63" t="n"/>
      <c r="D1362" s="61" t="n"/>
      <c r="E1362" s="60" t="n"/>
      <c r="F1362" s="61" t="n"/>
    </row>
    <row r="1363">
      <c r="A1363" s="60" t="n"/>
      <c r="B1363" s="65">
        <f>IF(A1363="","",IFERROR(INDEX(Bestand!$B$14:$B$213,MATCH(A1363,Bestand!$A$14:$A$213,0)),"ID unbekannt"))</f>
        <v/>
      </c>
      <c r="C1363" s="63" t="n"/>
      <c r="D1363" s="61" t="n"/>
      <c r="E1363" s="60" t="n"/>
      <c r="F1363" s="61" t="n"/>
    </row>
    <row r="1364">
      <c r="A1364" s="60" t="n"/>
      <c r="B1364" s="65">
        <f>IF(A1364="","",IFERROR(INDEX(Bestand!$B$14:$B$213,MATCH(A1364,Bestand!$A$14:$A$213,0)),"ID unbekannt"))</f>
        <v/>
      </c>
      <c r="C1364" s="63" t="n"/>
      <c r="D1364" s="61" t="n"/>
      <c r="E1364" s="60" t="n"/>
      <c r="F1364" s="61" t="n"/>
    </row>
    <row r="1365">
      <c r="A1365" s="60" t="n"/>
      <c r="B1365" s="65">
        <f>IF(A1365="","",IFERROR(INDEX(Bestand!$B$14:$B$213,MATCH(A1365,Bestand!$A$14:$A$213,0)),"ID unbekannt"))</f>
        <v/>
      </c>
      <c r="C1365" s="63" t="n"/>
      <c r="D1365" s="61" t="n"/>
      <c r="E1365" s="60" t="n"/>
      <c r="F1365" s="61" t="n"/>
    </row>
    <row r="1366">
      <c r="A1366" s="60" t="n"/>
      <c r="B1366" s="65">
        <f>IF(A1366="","",IFERROR(INDEX(Bestand!$B$14:$B$213,MATCH(A1366,Bestand!$A$14:$A$213,0)),"ID unbekannt"))</f>
        <v/>
      </c>
      <c r="C1366" s="63" t="n"/>
      <c r="D1366" s="61" t="n"/>
      <c r="E1366" s="60" t="n"/>
      <c r="F1366" s="61" t="n"/>
    </row>
    <row r="1367">
      <c r="A1367" s="60" t="n"/>
      <c r="B1367" s="65">
        <f>IF(A1367="","",IFERROR(INDEX(Bestand!$B$14:$B$213,MATCH(A1367,Bestand!$A$14:$A$213,0)),"ID unbekannt"))</f>
        <v/>
      </c>
      <c r="C1367" s="63" t="n"/>
      <c r="D1367" s="61" t="n"/>
      <c r="E1367" s="60" t="n"/>
      <c r="F1367" s="61" t="n"/>
    </row>
    <row r="1368">
      <c r="A1368" s="60" t="n"/>
      <c r="B1368" s="65">
        <f>IF(A1368="","",IFERROR(INDEX(Bestand!$B$14:$B$213,MATCH(A1368,Bestand!$A$14:$A$213,0)),"ID unbekannt"))</f>
        <v/>
      </c>
      <c r="C1368" s="63" t="n"/>
      <c r="D1368" s="61" t="n"/>
      <c r="E1368" s="60" t="n"/>
      <c r="F1368" s="61" t="n"/>
    </row>
    <row r="1369">
      <c r="A1369" s="60" t="n"/>
      <c r="B1369" s="65">
        <f>IF(A1369="","",IFERROR(INDEX(Bestand!$B$14:$B$213,MATCH(A1369,Bestand!$A$14:$A$213,0)),"ID unbekannt"))</f>
        <v/>
      </c>
      <c r="C1369" s="63" t="n"/>
      <c r="D1369" s="61" t="n"/>
      <c r="E1369" s="60" t="n"/>
      <c r="F1369" s="61" t="n"/>
    </row>
    <row r="1370">
      <c r="A1370" s="60" t="n"/>
      <c r="B1370" s="65">
        <f>IF(A1370="","",IFERROR(INDEX(Bestand!$B$14:$B$213,MATCH(A1370,Bestand!$A$14:$A$213,0)),"ID unbekannt"))</f>
        <v/>
      </c>
      <c r="C1370" s="63" t="n"/>
      <c r="D1370" s="61" t="n"/>
      <c r="E1370" s="60" t="n"/>
      <c r="F1370" s="61" t="n"/>
    </row>
    <row r="1371">
      <c r="A1371" s="60" t="n"/>
      <c r="B1371" s="65">
        <f>IF(A1371="","",IFERROR(INDEX(Bestand!$B$14:$B$213,MATCH(A1371,Bestand!$A$14:$A$213,0)),"ID unbekannt"))</f>
        <v/>
      </c>
      <c r="C1371" s="63" t="n"/>
      <c r="D1371" s="61" t="n"/>
      <c r="E1371" s="60" t="n"/>
      <c r="F1371" s="61" t="n"/>
    </row>
    <row r="1372">
      <c r="A1372" s="60" t="n"/>
      <c r="B1372" s="65">
        <f>IF(A1372="","",IFERROR(INDEX(Bestand!$B$14:$B$213,MATCH(A1372,Bestand!$A$14:$A$213,0)),"ID unbekannt"))</f>
        <v/>
      </c>
      <c r="C1372" s="63" t="n"/>
      <c r="D1372" s="61" t="n"/>
      <c r="E1372" s="60" t="n"/>
      <c r="F1372" s="61" t="n"/>
    </row>
    <row r="1373">
      <c r="A1373" s="60" t="n"/>
      <c r="B1373" s="65">
        <f>IF(A1373="","",IFERROR(INDEX(Bestand!$B$14:$B$213,MATCH(A1373,Bestand!$A$14:$A$213,0)),"ID unbekannt"))</f>
        <v/>
      </c>
      <c r="C1373" s="63" t="n"/>
      <c r="D1373" s="61" t="n"/>
      <c r="E1373" s="60" t="n"/>
      <c r="F1373" s="61" t="n"/>
    </row>
    <row r="1374">
      <c r="A1374" s="60" t="n"/>
      <c r="B1374" s="65">
        <f>IF(A1374="","",IFERROR(INDEX(Bestand!$B$14:$B$213,MATCH(A1374,Bestand!$A$14:$A$213,0)),"ID unbekannt"))</f>
        <v/>
      </c>
      <c r="C1374" s="63" t="n"/>
      <c r="D1374" s="61" t="n"/>
      <c r="E1374" s="60" t="n"/>
      <c r="F1374" s="61" t="n"/>
    </row>
    <row r="1375">
      <c r="A1375" s="60" t="n"/>
      <c r="B1375" s="65">
        <f>IF(A1375="","",IFERROR(INDEX(Bestand!$B$14:$B$213,MATCH(A1375,Bestand!$A$14:$A$213,0)),"ID unbekannt"))</f>
        <v/>
      </c>
      <c r="C1375" s="63" t="n"/>
      <c r="D1375" s="61" t="n"/>
      <c r="E1375" s="60" t="n"/>
      <c r="F1375" s="61" t="n"/>
    </row>
    <row r="1376">
      <c r="A1376" s="60" t="n"/>
      <c r="B1376" s="65">
        <f>IF(A1376="","",IFERROR(INDEX(Bestand!$B$14:$B$213,MATCH(A1376,Bestand!$A$14:$A$213,0)),"ID unbekannt"))</f>
        <v/>
      </c>
      <c r="C1376" s="63" t="n"/>
      <c r="D1376" s="61" t="n"/>
      <c r="E1376" s="60" t="n"/>
      <c r="F1376" s="61" t="n"/>
    </row>
    <row r="1377">
      <c r="A1377" s="60" t="n"/>
      <c r="B1377" s="65">
        <f>IF(A1377="","",IFERROR(INDEX(Bestand!$B$14:$B$213,MATCH(A1377,Bestand!$A$14:$A$213,0)),"ID unbekannt"))</f>
        <v/>
      </c>
      <c r="C1377" s="63" t="n"/>
      <c r="D1377" s="61" t="n"/>
      <c r="E1377" s="60" t="n"/>
      <c r="F1377" s="61" t="n"/>
    </row>
    <row r="1378">
      <c r="A1378" s="60" t="n"/>
      <c r="B1378" s="65">
        <f>IF(A1378="","",IFERROR(INDEX(Bestand!$B$14:$B$213,MATCH(A1378,Bestand!$A$14:$A$213,0)),"ID unbekannt"))</f>
        <v/>
      </c>
      <c r="C1378" s="63" t="n"/>
      <c r="D1378" s="61" t="n"/>
      <c r="E1378" s="60" t="n"/>
      <c r="F1378" s="61" t="n"/>
    </row>
    <row r="1379">
      <c r="A1379" s="60" t="n"/>
      <c r="B1379" s="65">
        <f>IF(A1379="","",IFERROR(INDEX(Bestand!$B$14:$B$213,MATCH(A1379,Bestand!$A$14:$A$213,0)),"ID unbekannt"))</f>
        <v/>
      </c>
      <c r="C1379" s="63" t="n"/>
      <c r="D1379" s="61" t="n"/>
      <c r="E1379" s="60" t="n"/>
      <c r="F1379" s="61" t="n"/>
    </row>
    <row r="1380">
      <c r="A1380" s="60" t="n"/>
      <c r="B1380" s="65">
        <f>IF(A1380="","",IFERROR(INDEX(Bestand!$B$14:$B$213,MATCH(A1380,Bestand!$A$14:$A$213,0)),"ID unbekannt"))</f>
        <v/>
      </c>
      <c r="C1380" s="63" t="n"/>
      <c r="D1380" s="61" t="n"/>
      <c r="E1380" s="60" t="n"/>
      <c r="F1380" s="61" t="n"/>
    </row>
    <row r="1381">
      <c r="A1381" s="60" t="n"/>
      <c r="B1381" s="65">
        <f>IF(A1381="","",IFERROR(INDEX(Bestand!$B$14:$B$213,MATCH(A1381,Bestand!$A$14:$A$213,0)),"ID unbekannt"))</f>
        <v/>
      </c>
      <c r="C1381" s="63" t="n"/>
      <c r="D1381" s="61" t="n"/>
      <c r="E1381" s="60" t="n"/>
      <c r="F1381" s="61" t="n"/>
    </row>
    <row r="1382">
      <c r="A1382" s="60" t="n"/>
      <c r="B1382" s="65">
        <f>IF(A1382="","",IFERROR(INDEX(Bestand!$B$14:$B$213,MATCH(A1382,Bestand!$A$14:$A$213,0)),"ID unbekannt"))</f>
        <v/>
      </c>
      <c r="C1382" s="63" t="n"/>
      <c r="D1382" s="61" t="n"/>
      <c r="E1382" s="60" t="n"/>
      <c r="F1382" s="61" t="n"/>
    </row>
    <row r="1383">
      <c r="A1383" s="60" t="n"/>
      <c r="B1383" s="65">
        <f>IF(A1383="","",IFERROR(INDEX(Bestand!$B$14:$B$213,MATCH(A1383,Bestand!$A$14:$A$213,0)),"ID unbekannt"))</f>
        <v/>
      </c>
      <c r="C1383" s="63" t="n"/>
      <c r="D1383" s="61" t="n"/>
      <c r="E1383" s="60" t="n"/>
      <c r="F1383" s="61" t="n"/>
    </row>
    <row r="1384">
      <c r="A1384" s="60" t="n"/>
      <c r="B1384" s="65">
        <f>IF(A1384="","",IFERROR(INDEX(Bestand!$B$14:$B$213,MATCH(A1384,Bestand!$A$14:$A$213,0)),"ID unbekannt"))</f>
        <v/>
      </c>
      <c r="C1384" s="63" t="n"/>
      <c r="D1384" s="61" t="n"/>
      <c r="E1384" s="60" t="n"/>
      <c r="F1384" s="61" t="n"/>
    </row>
    <row r="1385">
      <c r="A1385" s="60" t="n"/>
      <c r="B1385" s="65">
        <f>IF(A1385="","",IFERROR(INDEX(Bestand!$B$14:$B$213,MATCH(A1385,Bestand!$A$14:$A$213,0)),"ID unbekannt"))</f>
        <v/>
      </c>
      <c r="C1385" s="63" t="n"/>
      <c r="D1385" s="61" t="n"/>
      <c r="E1385" s="60" t="n"/>
      <c r="F1385" s="61" t="n"/>
    </row>
    <row r="1386">
      <c r="A1386" s="60" t="n"/>
      <c r="B1386" s="65">
        <f>IF(A1386="","",IFERROR(INDEX(Bestand!$B$14:$B$213,MATCH(A1386,Bestand!$A$14:$A$213,0)),"ID unbekannt"))</f>
        <v/>
      </c>
      <c r="C1386" s="63" t="n"/>
      <c r="D1386" s="61" t="n"/>
      <c r="E1386" s="60" t="n"/>
      <c r="F1386" s="61" t="n"/>
    </row>
    <row r="1387">
      <c r="A1387" s="60" t="n"/>
      <c r="B1387" s="65">
        <f>IF(A1387="","",IFERROR(INDEX(Bestand!$B$14:$B$213,MATCH(A1387,Bestand!$A$14:$A$213,0)),"ID unbekannt"))</f>
        <v/>
      </c>
      <c r="C1387" s="63" t="n"/>
      <c r="D1387" s="61" t="n"/>
      <c r="E1387" s="60" t="n"/>
      <c r="F1387" s="61" t="n"/>
    </row>
    <row r="1388">
      <c r="A1388" s="60" t="n"/>
      <c r="B1388" s="65">
        <f>IF(A1388="","",IFERROR(INDEX(Bestand!$B$14:$B$213,MATCH(A1388,Bestand!$A$14:$A$213,0)),"ID unbekannt"))</f>
        <v/>
      </c>
      <c r="C1388" s="63" t="n"/>
      <c r="D1388" s="61" t="n"/>
      <c r="E1388" s="60" t="n"/>
      <c r="F1388" s="61" t="n"/>
    </row>
    <row r="1389">
      <c r="A1389" s="60" t="n"/>
      <c r="B1389" s="65">
        <f>IF(A1389="","",IFERROR(INDEX(Bestand!$B$14:$B$213,MATCH(A1389,Bestand!$A$14:$A$213,0)),"ID unbekannt"))</f>
        <v/>
      </c>
      <c r="C1389" s="63" t="n"/>
      <c r="D1389" s="61" t="n"/>
      <c r="E1389" s="60" t="n"/>
      <c r="F1389" s="61" t="n"/>
    </row>
    <row r="1390">
      <c r="A1390" s="60" t="n"/>
      <c r="B1390" s="65">
        <f>IF(A1390="","",IFERROR(INDEX(Bestand!$B$14:$B$213,MATCH(A1390,Bestand!$A$14:$A$213,0)),"ID unbekannt"))</f>
        <v/>
      </c>
      <c r="C1390" s="63" t="n"/>
      <c r="D1390" s="61" t="n"/>
      <c r="E1390" s="60" t="n"/>
      <c r="F1390" s="61" t="n"/>
    </row>
    <row r="1391">
      <c r="A1391" s="60" t="n"/>
      <c r="B1391" s="65">
        <f>IF(A1391="","",IFERROR(INDEX(Bestand!$B$14:$B$213,MATCH(A1391,Bestand!$A$14:$A$213,0)),"ID unbekannt"))</f>
        <v/>
      </c>
      <c r="C1391" s="63" t="n"/>
      <c r="D1391" s="61" t="n"/>
      <c r="E1391" s="60" t="n"/>
      <c r="F1391" s="61" t="n"/>
    </row>
    <row r="1392">
      <c r="A1392" s="60" t="n"/>
      <c r="B1392" s="65">
        <f>IF(A1392="","",IFERROR(INDEX(Bestand!$B$14:$B$213,MATCH(A1392,Bestand!$A$14:$A$213,0)),"ID unbekannt"))</f>
        <v/>
      </c>
      <c r="C1392" s="63" t="n"/>
      <c r="D1392" s="61" t="n"/>
      <c r="E1392" s="60" t="n"/>
      <c r="F1392" s="61" t="n"/>
    </row>
    <row r="1393">
      <c r="A1393" s="60" t="n"/>
      <c r="B1393" s="65">
        <f>IF(A1393="","",IFERROR(INDEX(Bestand!$B$14:$B$213,MATCH(A1393,Bestand!$A$14:$A$213,0)),"ID unbekannt"))</f>
        <v/>
      </c>
      <c r="C1393" s="63" t="n"/>
      <c r="D1393" s="61" t="n"/>
      <c r="E1393" s="60" t="n"/>
      <c r="F1393" s="61" t="n"/>
    </row>
    <row r="1394">
      <c r="A1394" s="60" t="n"/>
      <c r="B1394" s="65">
        <f>IF(A1394="","",IFERROR(INDEX(Bestand!$B$14:$B$213,MATCH(A1394,Bestand!$A$14:$A$213,0)),"ID unbekannt"))</f>
        <v/>
      </c>
      <c r="C1394" s="63" t="n"/>
      <c r="D1394" s="61" t="n"/>
      <c r="E1394" s="60" t="n"/>
      <c r="F1394" s="61" t="n"/>
    </row>
    <row r="1395">
      <c r="A1395" s="60" t="n"/>
      <c r="B1395" s="65">
        <f>IF(A1395="","",IFERROR(INDEX(Bestand!$B$14:$B$213,MATCH(A1395,Bestand!$A$14:$A$213,0)),"ID unbekannt"))</f>
        <v/>
      </c>
      <c r="C1395" s="63" t="n"/>
      <c r="D1395" s="61" t="n"/>
      <c r="E1395" s="60" t="n"/>
      <c r="F1395" s="61" t="n"/>
    </row>
    <row r="1396">
      <c r="A1396" s="60" t="n"/>
      <c r="B1396" s="65">
        <f>IF(A1396="","",IFERROR(INDEX(Bestand!$B$14:$B$213,MATCH(A1396,Bestand!$A$14:$A$213,0)),"ID unbekannt"))</f>
        <v/>
      </c>
      <c r="C1396" s="63" t="n"/>
      <c r="D1396" s="61" t="n"/>
      <c r="E1396" s="60" t="n"/>
      <c r="F1396" s="61" t="n"/>
    </row>
    <row r="1397">
      <c r="A1397" s="60" t="n"/>
      <c r="B1397" s="65">
        <f>IF(A1397="","",IFERROR(INDEX(Bestand!$B$14:$B$213,MATCH(A1397,Bestand!$A$14:$A$213,0)),"ID unbekannt"))</f>
        <v/>
      </c>
      <c r="C1397" s="63" t="n"/>
      <c r="D1397" s="61" t="n"/>
      <c r="E1397" s="60" t="n"/>
      <c r="F1397" s="61" t="n"/>
    </row>
    <row r="1398">
      <c r="A1398" s="60" t="n"/>
      <c r="B1398" s="65">
        <f>IF(A1398="","",IFERROR(INDEX(Bestand!$B$14:$B$213,MATCH(A1398,Bestand!$A$14:$A$213,0)),"ID unbekannt"))</f>
        <v/>
      </c>
      <c r="C1398" s="63" t="n"/>
      <c r="D1398" s="61" t="n"/>
      <c r="E1398" s="60" t="n"/>
      <c r="F1398" s="61" t="n"/>
    </row>
    <row r="1399">
      <c r="A1399" s="60" t="n"/>
      <c r="B1399" s="65">
        <f>IF(A1399="","",IFERROR(INDEX(Bestand!$B$14:$B$213,MATCH(A1399,Bestand!$A$14:$A$213,0)),"ID unbekannt"))</f>
        <v/>
      </c>
      <c r="C1399" s="63" t="n"/>
      <c r="D1399" s="61" t="n"/>
      <c r="E1399" s="60" t="n"/>
      <c r="F1399" s="61" t="n"/>
    </row>
    <row r="1400">
      <c r="A1400" s="60" t="n"/>
      <c r="B1400" s="65">
        <f>IF(A1400="","",IFERROR(INDEX(Bestand!$B$14:$B$213,MATCH(A1400,Bestand!$A$14:$A$213,0)),"ID unbekannt"))</f>
        <v/>
      </c>
      <c r="C1400" s="63" t="n"/>
      <c r="D1400" s="61" t="n"/>
      <c r="E1400" s="60" t="n"/>
      <c r="F1400" s="61" t="n"/>
    </row>
    <row r="1401">
      <c r="A1401" s="60" t="n"/>
      <c r="B1401" s="65">
        <f>IF(A1401="","",IFERROR(INDEX(Bestand!$B$14:$B$213,MATCH(A1401,Bestand!$A$14:$A$213,0)),"ID unbekannt"))</f>
        <v/>
      </c>
      <c r="C1401" s="63" t="n"/>
      <c r="D1401" s="61" t="n"/>
      <c r="E1401" s="60" t="n"/>
      <c r="F1401" s="61" t="n"/>
    </row>
    <row r="1402">
      <c r="A1402" s="60" t="n"/>
      <c r="B1402" s="65">
        <f>IF(A1402="","",IFERROR(INDEX(Bestand!$B$14:$B$213,MATCH(A1402,Bestand!$A$14:$A$213,0)),"ID unbekannt"))</f>
        <v/>
      </c>
      <c r="C1402" s="63" t="n"/>
      <c r="D1402" s="61" t="n"/>
      <c r="E1402" s="60" t="n"/>
      <c r="F1402" s="61" t="n"/>
    </row>
    <row r="1403">
      <c r="A1403" s="60" t="n"/>
      <c r="B1403" s="65">
        <f>IF(A1403="","",IFERROR(INDEX(Bestand!$B$14:$B$213,MATCH(A1403,Bestand!$A$14:$A$213,0)),"ID unbekannt"))</f>
        <v/>
      </c>
      <c r="C1403" s="63" t="n"/>
      <c r="D1403" s="61" t="n"/>
      <c r="E1403" s="60" t="n"/>
      <c r="F1403" s="61" t="n"/>
    </row>
    <row r="1404">
      <c r="A1404" s="60" t="n"/>
      <c r="B1404" s="65">
        <f>IF(A1404="","",IFERROR(INDEX(Bestand!$B$14:$B$213,MATCH(A1404,Bestand!$A$14:$A$213,0)),"ID unbekannt"))</f>
        <v/>
      </c>
      <c r="C1404" s="63" t="n"/>
      <c r="D1404" s="61" t="n"/>
      <c r="E1404" s="60" t="n"/>
      <c r="F1404" s="61" t="n"/>
    </row>
    <row r="1405">
      <c r="A1405" s="60" t="n"/>
      <c r="B1405" s="65">
        <f>IF(A1405="","",IFERROR(INDEX(Bestand!$B$14:$B$213,MATCH(A1405,Bestand!$A$14:$A$213,0)),"ID unbekannt"))</f>
        <v/>
      </c>
      <c r="C1405" s="63" t="n"/>
      <c r="D1405" s="61" t="n"/>
      <c r="E1405" s="60" t="n"/>
      <c r="F1405" s="61" t="n"/>
    </row>
    <row r="1406">
      <c r="A1406" s="60" t="n"/>
      <c r="B1406" s="65">
        <f>IF(A1406="","",IFERROR(INDEX(Bestand!$B$14:$B$213,MATCH(A1406,Bestand!$A$14:$A$213,0)),"ID unbekannt"))</f>
        <v/>
      </c>
      <c r="C1406" s="63" t="n"/>
      <c r="D1406" s="61" t="n"/>
      <c r="E1406" s="60" t="n"/>
      <c r="F1406" s="61" t="n"/>
    </row>
    <row r="1407">
      <c r="A1407" s="60" t="n"/>
      <c r="B1407" s="65">
        <f>IF(A1407="","",IFERROR(INDEX(Bestand!$B$14:$B$213,MATCH(A1407,Bestand!$A$14:$A$213,0)),"ID unbekannt"))</f>
        <v/>
      </c>
      <c r="C1407" s="63" t="n"/>
      <c r="D1407" s="61" t="n"/>
      <c r="E1407" s="60" t="n"/>
      <c r="F1407" s="61" t="n"/>
    </row>
    <row r="1408">
      <c r="A1408" s="60" t="n"/>
      <c r="B1408" s="65">
        <f>IF(A1408="","",IFERROR(INDEX(Bestand!$B$14:$B$213,MATCH(A1408,Bestand!$A$14:$A$213,0)),"ID unbekannt"))</f>
        <v/>
      </c>
      <c r="C1408" s="63" t="n"/>
      <c r="D1408" s="61" t="n"/>
      <c r="E1408" s="60" t="n"/>
      <c r="F1408" s="61" t="n"/>
    </row>
    <row r="1409">
      <c r="A1409" s="60" t="n"/>
      <c r="B1409" s="65">
        <f>IF(A1409="","",IFERROR(INDEX(Bestand!$B$14:$B$213,MATCH(A1409,Bestand!$A$14:$A$213,0)),"ID unbekannt"))</f>
        <v/>
      </c>
      <c r="C1409" s="63" t="n"/>
      <c r="D1409" s="61" t="n"/>
      <c r="E1409" s="60" t="n"/>
      <c r="F1409" s="61" t="n"/>
    </row>
    <row r="1410">
      <c r="A1410" s="60" t="n"/>
      <c r="B1410" s="65">
        <f>IF(A1410="","",IFERROR(INDEX(Bestand!$B$14:$B$213,MATCH(A1410,Bestand!$A$14:$A$213,0)),"ID unbekannt"))</f>
        <v/>
      </c>
      <c r="C1410" s="63" t="n"/>
      <c r="D1410" s="61" t="n"/>
      <c r="E1410" s="60" t="n"/>
      <c r="F1410" s="61" t="n"/>
    </row>
    <row r="1411">
      <c r="A1411" s="60" t="n"/>
      <c r="B1411" s="65">
        <f>IF(A1411="","",IFERROR(INDEX(Bestand!$B$14:$B$213,MATCH(A1411,Bestand!$A$14:$A$213,0)),"ID unbekannt"))</f>
        <v/>
      </c>
      <c r="C1411" s="63" t="n"/>
      <c r="D1411" s="61" t="n"/>
      <c r="E1411" s="60" t="n"/>
      <c r="F1411" s="61" t="n"/>
    </row>
    <row r="1412">
      <c r="A1412" s="60" t="n"/>
      <c r="B1412" s="65">
        <f>IF(A1412="","",IFERROR(INDEX(Bestand!$B$14:$B$213,MATCH(A1412,Bestand!$A$14:$A$213,0)),"ID unbekannt"))</f>
        <v/>
      </c>
      <c r="C1412" s="63" t="n"/>
      <c r="D1412" s="61" t="n"/>
      <c r="E1412" s="60" t="n"/>
      <c r="F1412" s="61" t="n"/>
    </row>
    <row r="1413">
      <c r="A1413" s="60" t="n"/>
      <c r="B1413" s="65">
        <f>IF(A1413="","",IFERROR(INDEX(Bestand!$B$14:$B$213,MATCH(A1413,Bestand!$A$14:$A$213,0)),"ID unbekannt"))</f>
        <v/>
      </c>
      <c r="C1413" s="63" t="n"/>
      <c r="D1413" s="61" t="n"/>
      <c r="E1413" s="60" t="n"/>
      <c r="F1413" s="61" t="n"/>
    </row>
    <row r="1414">
      <c r="A1414" s="60" t="n"/>
      <c r="B1414" s="65">
        <f>IF(A1414="","",IFERROR(INDEX(Bestand!$B$14:$B$213,MATCH(A1414,Bestand!$A$14:$A$213,0)),"ID unbekannt"))</f>
        <v/>
      </c>
      <c r="C1414" s="63" t="n"/>
      <c r="D1414" s="61" t="n"/>
      <c r="E1414" s="60" t="n"/>
      <c r="F1414" s="61" t="n"/>
    </row>
    <row r="1415">
      <c r="A1415" s="60" t="n"/>
      <c r="B1415" s="65">
        <f>IF(A1415="","",IFERROR(INDEX(Bestand!$B$14:$B$213,MATCH(A1415,Bestand!$A$14:$A$213,0)),"ID unbekannt"))</f>
        <v/>
      </c>
      <c r="C1415" s="63" t="n"/>
      <c r="D1415" s="61" t="n"/>
      <c r="E1415" s="60" t="n"/>
      <c r="F1415" s="61" t="n"/>
    </row>
    <row r="1416">
      <c r="A1416" s="60" t="n"/>
      <c r="B1416" s="65">
        <f>IF(A1416="","",IFERROR(INDEX(Bestand!$B$14:$B$213,MATCH(A1416,Bestand!$A$14:$A$213,0)),"ID unbekannt"))</f>
        <v/>
      </c>
      <c r="C1416" s="63" t="n"/>
      <c r="D1416" s="61" t="n"/>
      <c r="E1416" s="60" t="n"/>
      <c r="F1416" s="61" t="n"/>
    </row>
    <row r="1417">
      <c r="A1417" s="60" t="n"/>
      <c r="B1417" s="65">
        <f>IF(A1417="","",IFERROR(INDEX(Bestand!$B$14:$B$213,MATCH(A1417,Bestand!$A$14:$A$213,0)),"ID unbekannt"))</f>
        <v/>
      </c>
      <c r="C1417" s="63" t="n"/>
      <c r="D1417" s="61" t="n"/>
      <c r="E1417" s="60" t="n"/>
      <c r="F1417" s="61" t="n"/>
    </row>
    <row r="1418">
      <c r="A1418" s="60" t="n"/>
      <c r="B1418" s="65">
        <f>IF(A1418="","",IFERROR(INDEX(Bestand!$B$14:$B$213,MATCH(A1418,Bestand!$A$14:$A$213,0)),"ID unbekannt"))</f>
        <v/>
      </c>
      <c r="C1418" s="63" t="n"/>
      <c r="D1418" s="61" t="n"/>
      <c r="E1418" s="60" t="n"/>
      <c r="F1418" s="61" t="n"/>
    </row>
    <row r="1419">
      <c r="A1419" s="60" t="n"/>
      <c r="B1419" s="65">
        <f>IF(A1419="","",IFERROR(INDEX(Bestand!$B$14:$B$213,MATCH(A1419,Bestand!$A$14:$A$213,0)),"ID unbekannt"))</f>
        <v/>
      </c>
      <c r="C1419" s="63" t="n"/>
      <c r="D1419" s="61" t="n"/>
      <c r="E1419" s="60" t="n"/>
      <c r="F1419" s="61" t="n"/>
    </row>
    <row r="1420">
      <c r="A1420" s="60" t="n"/>
      <c r="B1420" s="65">
        <f>IF(A1420="","",IFERROR(INDEX(Bestand!$B$14:$B$213,MATCH(A1420,Bestand!$A$14:$A$213,0)),"ID unbekannt"))</f>
        <v/>
      </c>
      <c r="C1420" s="63" t="n"/>
      <c r="D1420" s="61" t="n"/>
      <c r="E1420" s="60" t="n"/>
      <c r="F1420" s="61" t="n"/>
    </row>
    <row r="1421">
      <c r="A1421" s="60" t="n"/>
      <c r="B1421" s="65">
        <f>IF(A1421="","",IFERROR(INDEX(Bestand!$B$14:$B$213,MATCH(A1421,Bestand!$A$14:$A$213,0)),"ID unbekannt"))</f>
        <v/>
      </c>
      <c r="C1421" s="63" t="n"/>
      <c r="D1421" s="61" t="n"/>
      <c r="E1421" s="60" t="n"/>
      <c r="F1421" s="61" t="n"/>
    </row>
    <row r="1422">
      <c r="A1422" s="60" t="n"/>
      <c r="B1422" s="65">
        <f>IF(A1422="","",IFERROR(INDEX(Bestand!$B$14:$B$213,MATCH(A1422,Bestand!$A$14:$A$213,0)),"ID unbekannt"))</f>
        <v/>
      </c>
      <c r="C1422" s="63" t="n"/>
      <c r="D1422" s="61" t="n"/>
      <c r="E1422" s="60" t="n"/>
      <c r="F1422" s="61" t="n"/>
    </row>
    <row r="1423">
      <c r="A1423" s="60" t="n"/>
      <c r="B1423" s="65">
        <f>IF(A1423="","",IFERROR(INDEX(Bestand!$B$14:$B$213,MATCH(A1423,Bestand!$A$14:$A$213,0)),"ID unbekannt"))</f>
        <v/>
      </c>
      <c r="C1423" s="63" t="n"/>
      <c r="D1423" s="61" t="n"/>
      <c r="E1423" s="60" t="n"/>
      <c r="F1423" s="61" t="n"/>
    </row>
    <row r="1424">
      <c r="A1424" s="60" t="n"/>
      <c r="B1424" s="65">
        <f>IF(A1424="","",IFERROR(INDEX(Bestand!$B$14:$B$213,MATCH(A1424,Bestand!$A$14:$A$213,0)),"ID unbekannt"))</f>
        <v/>
      </c>
      <c r="C1424" s="63" t="n"/>
      <c r="D1424" s="61" t="n"/>
      <c r="E1424" s="60" t="n"/>
      <c r="F1424" s="61" t="n"/>
    </row>
    <row r="1425">
      <c r="A1425" s="60" t="n"/>
      <c r="B1425" s="65">
        <f>IF(A1425="","",IFERROR(INDEX(Bestand!$B$14:$B$213,MATCH(A1425,Bestand!$A$14:$A$213,0)),"ID unbekannt"))</f>
        <v/>
      </c>
      <c r="C1425" s="63" t="n"/>
      <c r="D1425" s="61" t="n"/>
      <c r="E1425" s="60" t="n"/>
      <c r="F1425" s="61" t="n"/>
    </row>
    <row r="1426">
      <c r="A1426" s="60" t="n"/>
      <c r="B1426" s="65">
        <f>IF(A1426="","",IFERROR(INDEX(Bestand!$B$14:$B$213,MATCH(A1426,Bestand!$A$14:$A$213,0)),"ID unbekannt"))</f>
        <v/>
      </c>
      <c r="C1426" s="63" t="n"/>
      <c r="D1426" s="61" t="n"/>
      <c r="E1426" s="60" t="n"/>
      <c r="F1426" s="61" t="n"/>
    </row>
    <row r="1427">
      <c r="A1427" s="60" t="n"/>
      <c r="B1427" s="65">
        <f>IF(A1427="","",IFERROR(INDEX(Bestand!$B$14:$B$213,MATCH(A1427,Bestand!$A$14:$A$213,0)),"ID unbekannt"))</f>
        <v/>
      </c>
      <c r="C1427" s="63" t="n"/>
      <c r="D1427" s="61" t="n"/>
      <c r="E1427" s="60" t="n"/>
      <c r="F1427" s="61" t="n"/>
    </row>
    <row r="1428">
      <c r="A1428" s="60" t="n"/>
      <c r="B1428" s="65">
        <f>IF(A1428="","",IFERROR(INDEX(Bestand!$B$14:$B$213,MATCH(A1428,Bestand!$A$14:$A$213,0)),"ID unbekannt"))</f>
        <v/>
      </c>
      <c r="C1428" s="63" t="n"/>
      <c r="D1428" s="61" t="n"/>
      <c r="E1428" s="60" t="n"/>
      <c r="F1428" s="61" t="n"/>
    </row>
    <row r="1429">
      <c r="A1429" s="60" t="n"/>
      <c r="B1429" s="65">
        <f>IF(A1429="","",IFERROR(INDEX(Bestand!$B$14:$B$213,MATCH(A1429,Bestand!$A$14:$A$213,0)),"ID unbekannt"))</f>
        <v/>
      </c>
      <c r="C1429" s="63" t="n"/>
      <c r="D1429" s="61" t="n"/>
      <c r="E1429" s="60" t="n"/>
      <c r="F1429" s="61" t="n"/>
    </row>
    <row r="1430">
      <c r="A1430" s="60" t="n"/>
      <c r="B1430" s="65">
        <f>IF(A1430="","",IFERROR(INDEX(Bestand!$B$14:$B$213,MATCH(A1430,Bestand!$A$14:$A$213,0)),"ID unbekannt"))</f>
        <v/>
      </c>
      <c r="C1430" s="63" t="n"/>
      <c r="D1430" s="61" t="n"/>
      <c r="E1430" s="60" t="n"/>
      <c r="F1430" s="61" t="n"/>
    </row>
    <row r="1431">
      <c r="A1431" s="60" t="n"/>
      <c r="B1431" s="65">
        <f>IF(A1431="","",IFERROR(INDEX(Bestand!$B$14:$B$213,MATCH(A1431,Bestand!$A$14:$A$213,0)),"ID unbekannt"))</f>
        <v/>
      </c>
      <c r="C1431" s="63" t="n"/>
      <c r="D1431" s="61" t="n"/>
      <c r="E1431" s="60" t="n"/>
      <c r="F1431" s="61" t="n"/>
    </row>
    <row r="1432">
      <c r="A1432" s="60" t="n"/>
      <c r="B1432" s="65">
        <f>IF(A1432="","",IFERROR(INDEX(Bestand!$B$14:$B$213,MATCH(A1432,Bestand!$A$14:$A$213,0)),"ID unbekannt"))</f>
        <v/>
      </c>
      <c r="C1432" s="63" t="n"/>
      <c r="D1432" s="61" t="n"/>
      <c r="E1432" s="60" t="n"/>
      <c r="F1432" s="61" t="n"/>
    </row>
    <row r="1433">
      <c r="A1433" s="60" t="n"/>
      <c r="B1433" s="65">
        <f>IF(A1433="","",IFERROR(INDEX(Bestand!$B$14:$B$213,MATCH(A1433,Bestand!$A$14:$A$213,0)),"ID unbekannt"))</f>
        <v/>
      </c>
      <c r="C1433" s="63" t="n"/>
      <c r="D1433" s="61" t="n"/>
      <c r="E1433" s="60" t="n"/>
      <c r="F1433" s="61" t="n"/>
    </row>
    <row r="1434">
      <c r="A1434" s="60" t="n"/>
      <c r="B1434" s="65">
        <f>IF(A1434="","",IFERROR(INDEX(Bestand!$B$14:$B$213,MATCH(A1434,Bestand!$A$14:$A$213,0)),"ID unbekannt"))</f>
        <v/>
      </c>
      <c r="C1434" s="63" t="n"/>
      <c r="D1434" s="61" t="n"/>
      <c r="E1434" s="60" t="n"/>
      <c r="F1434" s="61" t="n"/>
    </row>
    <row r="1435">
      <c r="A1435" s="60" t="n"/>
      <c r="B1435" s="65">
        <f>IF(A1435="","",IFERROR(INDEX(Bestand!$B$14:$B$213,MATCH(A1435,Bestand!$A$14:$A$213,0)),"ID unbekannt"))</f>
        <v/>
      </c>
      <c r="C1435" s="63" t="n"/>
      <c r="D1435" s="61" t="n"/>
      <c r="E1435" s="60" t="n"/>
      <c r="F1435" s="61" t="n"/>
    </row>
    <row r="1436">
      <c r="A1436" s="60" t="n"/>
      <c r="B1436" s="65">
        <f>IF(A1436="","",IFERROR(INDEX(Bestand!$B$14:$B$213,MATCH(A1436,Bestand!$A$14:$A$213,0)),"ID unbekannt"))</f>
        <v/>
      </c>
      <c r="C1436" s="63" t="n"/>
      <c r="D1436" s="61" t="n"/>
      <c r="E1436" s="60" t="n"/>
      <c r="F1436" s="61" t="n"/>
    </row>
    <row r="1437">
      <c r="A1437" s="60" t="n"/>
      <c r="B1437" s="65">
        <f>IF(A1437="","",IFERROR(INDEX(Bestand!$B$14:$B$213,MATCH(A1437,Bestand!$A$14:$A$213,0)),"ID unbekannt"))</f>
        <v/>
      </c>
      <c r="C1437" s="63" t="n"/>
      <c r="D1437" s="61" t="n"/>
      <c r="E1437" s="60" t="n"/>
      <c r="F1437" s="61" t="n"/>
    </row>
    <row r="1438">
      <c r="A1438" s="60" t="n"/>
      <c r="B1438" s="65">
        <f>IF(A1438="","",IFERROR(INDEX(Bestand!$B$14:$B$213,MATCH(A1438,Bestand!$A$14:$A$213,0)),"ID unbekannt"))</f>
        <v/>
      </c>
      <c r="C1438" s="63" t="n"/>
      <c r="D1438" s="61" t="n"/>
      <c r="E1438" s="60" t="n"/>
      <c r="F1438" s="61" t="n"/>
    </row>
    <row r="1439">
      <c r="A1439" s="60" t="n"/>
      <c r="B1439" s="65">
        <f>IF(A1439="","",IFERROR(INDEX(Bestand!$B$14:$B$213,MATCH(A1439,Bestand!$A$14:$A$213,0)),"ID unbekannt"))</f>
        <v/>
      </c>
      <c r="C1439" s="63" t="n"/>
      <c r="D1439" s="61" t="n"/>
      <c r="E1439" s="60" t="n"/>
      <c r="F1439" s="61" t="n"/>
    </row>
    <row r="1440">
      <c r="A1440" s="60" t="n"/>
      <c r="B1440" s="65">
        <f>IF(A1440="","",IFERROR(INDEX(Bestand!$B$14:$B$213,MATCH(A1440,Bestand!$A$14:$A$213,0)),"ID unbekannt"))</f>
        <v/>
      </c>
      <c r="C1440" s="63" t="n"/>
      <c r="D1440" s="61" t="n"/>
      <c r="E1440" s="60" t="n"/>
      <c r="F1440" s="61" t="n"/>
    </row>
    <row r="1441">
      <c r="A1441" s="60" t="n"/>
      <c r="B1441" s="65">
        <f>IF(A1441="","",IFERROR(INDEX(Bestand!$B$14:$B$213,MATCH(A1441,Bestand!$A$14:$A$213,0)),"ID unbekannt"))</f>
        <v/>
      </c>
      <c r="C1441" s="63" t="n"/>
      <c r="D1441" s="61" t="n"/>
      <c r="E1441" s="60" t="n"/>
      <c r="F1441" s="61" t="n"/>
    </row>
    <row r="1442">
      <c r="A1442" s="60" t="n"/>
      <c r="B1442" s="65">
        <f>IF(A1442="","",IFERROR(INDEX(Bestand!$B$14:$B$213,MATCH(A1442,Bestand!$A$14:$A$213,0)),"ID unbekannt"))</f>
        <v/>
      </c>
      <c r="C1442" s="63" t="n"/>
      <c r="D1442" s="61" t="n"/>
      <c r="E1442" s="60" t="n"/>
      <c r="F1442" s="61" t="n"/>
    </row>
    <row r="1443">
      <c r="A1443" s="60" t="n"/>
      <c r="B1443" s="65">
        <f>IF(A1443="","",IFERROR(INDEX(Bestand!$B$14:$B$213,MATCH(A1443,Bestand!$A$14:$A$213,0)),"ID unbekannt"))</f>
        <v/>
      </c>
      <c r="C1443" s="63" t="n"/>
      <c r="D1443" s="61" t="n"/>
      <c r="E1443" s="60" t="n"/>
      <c r="F1443" s="61" t="n"/>
    </row>
    <row r="1444">
      <c r="A1444" s="60" t="n"/>
      <c r="B1444" s="65">
        <f>IF(A1444="","",IFERROR(INDEX(Bestand!$B$14:$B$213,MATCH(A1444,Bestand!$A$14:$A$213,0)),"ID unbekannt"))</f>
        <v/>
      </c>
      <c r="C1444" s="63" t="n"/>
      <c r="D1444" s="61" t="n"/>
      <c r="E1444" s="60" t="n"/>
      <c r="F1444" s="61" t="n"/>
    </row>
    <row r="1445">
      <c r="A1445" s="60" t="n"/>
      <c r="B1445" s="65">
        <f>IF(A1445="","",IFERROR(INDEX(Bestand!$B$14:$B$213,MATCH(A1445,Bestand!$A$14:$A$213,0)),"ID unbekannt"))</f>
        <v/>
      </c>
      <c r="C1445" s="63" t="n"/>
      <c r="D1445" s="61" t="n"/>
      <c r="E1445" s="60" t="n"/>
      <c r="F1445" s="61" t="n"/>
    </row>
    <row r="1446">
      <c r="A1446" s="60" t="n"/>
      <c r="B1446" s="65">
        <f>IF(A1446="","",IFERROR(INDEX(Bestand!$B$14:$B$213,MATCH(A1446,Bestand!$A$14:$A$213,0)),"ID unbekannt"))</f>
        <v/>
      </c>
      <c r="C1446" s="63" t="n"/>
      <c r="D1446" s="61" t="n"/>
      <c r="E1446" s="60" t="n"/>
      <c r="F1446" s="61" t="n"/>
    </row>
    <row r="1447">
      <c r="A1447" s="60" t="n"/>
      <c r="B1447" s="65">
        <f>IF(A1447="","",IFERROR(INDEX(Bestand!$B$14:$B$213,MATCH(A1447,Bestand!$A$14:$A$213,0)),"ID unbekannt"))</f>
        <v/>
      </c>
      <c r="C1447" s="63" t="n"/>
      <c r="D1447" s="61" t="n"/>
      <c r="E1447" s="60" t="n"/>
      <c r="F1447" s="61" t="n"/>
    </row>
    <row r="1448">
      <c r="A1448" s="60" t="n"/>
      <c r="B1448" s="65">
        <f>IF(A1448="","",IFERROR(INDEX(Bestand!$B$14:$B$213,MATCH(A1448,Bestand!$A$14:$A$213,0)),"ID unbekannt"))</f>
        <v/>
      </c>
      <c r="C1448" s="63" t="n"/>
      <c r="D1448" s="61" t="n"/>
      <c r="E1448" s="60" t="n"/>
      <c r="F1448" s="61" t="n"/>
    </row>
    <row r="1449">
      <c r="A1449" s="60" t="n"/>
      <c r="B1449" s="65">
        <f>IF(A1449="","",IFERROR(INDEX(Bestand!$B$14:$B$213,MATCH(A1449,Bestand!$A$14:$A$213,0)),"ID unbekannt"))</f>
        <v/>
      </c>
      <c r="C1449" s="63" t="n"/>
      <c r="D1449" s="61" t="n"/>
      <c r="E1449" s="60" t="n"/>
      <c r="F1449" s="61" t="n"/>
    </row>
    <row r="1450">
      <c r="A1450" s="60" t="n"/>
      <c r="B1450" s="65">
        <f>IF(A1450="","",IFERROR(INDEX(Bestand!$B$14:$B$213,MATCH(A1450,Bestand!$A$14:$A$213,0)),"ID unbekannt"))</f>
        <v/>
      </c>
      <c r="C1450" s="63" t="n"/>
      <c r="D1450" s="61" t="n"/>
      <c r="E1450" s="60" t="n"/>
      <c r="F1450" s="61" t="n"/>
    </row>
    <row r="1451">
      <c r="A1451" s="60" t="n"/>
      <c r="B1451" s="65">
        <f>IF(A1451="","",IFERROR(INDEX(Bestand!$B$14:$B$213,MATCH(A1451,Bestand!$A$14:$A$213,0)),"ID unbekannt"))</f>
        <v/>
      </c>
      <c r="C1451" s="63" t="n"/>
      <c r="D1451" s="61" t="n"/>
      <c r="E1451" s="60" t="n"/>
      <c r="F1451" s="61" t="n"/>
    </row>
    <row r="1452">
      <c r="A1452" s="60" t="n"/>
      <c r="B1452" s="65">
        <f>IF(A1452="","",IFERROR(INDEX(Bestand!$B$14:$B$213,MATCH(A1452,Bestand!$A$14:$A$213,0)),"ID unbekannt"))</f>
        <v/>
      </c>
      <c r="C1452" s="63" t="n"/>
      <c r="D1452" s="61" t="n"/>
      <c r="E1452" s="60" t="n"/>
      <c r="F1452" s="61" t="n"/>
    </row>
    <row r="1453">
      <c r="A1453" s="60" t="n"/>
      <c r="B1453" s="65">
        <f>IF(A1453="","",IFERROR(INDEX(Bestand!$B$14:$B$213,MATCH(A1453,Bestand!$A$14:$A$213,0)),"ID unbekannt"))</f>
        <v/>
      </c>
      <c r="C1453" s="63" t="n"/>
      <c r="D1453" s="61" t="n"/>
      <c r="E1453" s="60" t="n"/>
      <c r="F1453" s="61" t="n"/>
    </row>
    <row r="1454">
      <c r="A1454" s="60" t="n"/>
      <c r="B1454" s="65">
        <f>IF(A1454="","",IFERROR(INDEX(Bestand!$B$14:$B$213,MATCH(A1454,Bestand!$A$14:$A$213,0)),"ID unbekannt"))</f>
        <v/>
      </c>
      <c r="C1454" s="63" t="n"/>
      <c r="D1454" s="61" t="n"/>
      <c r="E1454" s="60" t="n"/>
      <c r="F1454" s="61" t="n"/>
    </row>
    <row r="1455">
      <c r="A1455" s="60" t="n"/>
      <c r="B1455" s="65">
        <f>IF(A1455="","",IFERROR(INDEX(Bestand!$B$14:$B$213,MATCH(A1455,Bestand!$A$14:$A$213,0)),"ID unbekannt"))</f>
        <v/>
      </c>
      <c r="C1455" s="63" t="n"/>
      <c r="D1455" s="61" t="n"/>
      <c r="E1455" s="60" t="n"/>
      <c r="F1455" s="61" t="n"/>
    </row>
    <row r="1456">
      <c r="A1456" s="60" t="n"/>
      <c r="B1456" s="65">
        <f>IF(A1456="","",IFERROR(INDEX(Bestand!$B$14:$B$213,MATCH(A1456,Bestand!$A$14:$A$213,0)),"ID unbekannt"))</f>
        <v/>
      </c>
      <c r="C1456" s="63" t="n"/>
      <c r="D1456" s="61" t="n"/>
      <c r="E1456" s="60" t="n"/>
      <c r="F1456" s="61" t="n"/>
    </row>
    <row r="1457">
      <c r="A1457" s="60" t="n"/>
      <c r="B1457" s="65">
        <f>IF(A1457="","",IFERROR(INDEX(Bestand!$B$14:$B$213,MATCH(A1457,Bestand!$A$14:$A$213,0)),"ID unbekannt"))</f>
        <v/>
      </c>
      <c r="C1457" s="63" t="n"/>
      <c r="D1457" s="61" t="n"/>
      <c r="E1457" s="60" t="n"/>
      <c r="F1457" s="61" t="n"/>
    </row>
    <row r="1458">
      <c r="A1458" s="60" t="n"/>
      <c r="B1458" s="65">
        <f>IF(A1458="","",IFERROR(INDEX(Bestand!$B$14:$B$213,MATCH(A1458,Bestand!$A$14:$A$213,0)),"ID unbekannt"))</f>
        <v/>
      </c>
      <c r="C1458" s="63" t="n"/>
      <c r="D1458" s="61" t="n"/>
      <c r="E1458" s="60" t="n"/>
      <c r="F1458" s="61" t="n"/>
    </row>
    <row r="1459">
      <c r="A1459" s="60" t="n"/>
      <c r="B1459" s="65">
        <f>IF(A1459="","",IFERROR(INDEX(Bestand!$B$14:$B$213,MATCH(A1459,Bestand!$A$14:$A$213,0)),"ID unbekannt"))</f>
        <v/>
      </c>
      <c r="C1459" s="63" t="n"/>
      <c r="D1459" s="61" t="n"/>
      <c r="E1459" s="60" t="n"/>
      <c r="F1459" s="61" t="n"/>
    </row>
    <row r="1460">
      <c r="A1460" s="60" t="n"/>
      <c r="B1460" s="65">
        <f>IF(A1460="","",IFERROR(INDEX(Bestand!$B$14:$B$213,MATCH(A1460,Bestand!$A$14:$A$213,0)),"ID unbekannt"))</f>
        <v/>
      </c>
      <c r="C1460" s="63" t="n"/>
      <c r="D1460" s="61" t="n"/>
      <c r="E1460" s="60" t="n"/>
      <c r="F1460" s="61" t="n"/>
    </row>
    <row r="1461">
      <c r="A1461" s="60" t="n"/>
      <c r="B1461" s="65">
        <f>IF(A1461="","",IFERROR(INDEX(Bestand!$B$14:$B$213,MATCH(A1461,Bestand!$A$14:$A$213,0)),"ID unbekannt"))</f>
        <v/>
      </c>
      <c r="C1461" s="63" t="n"/>
      <c r="D1461" s="61" t="n"/>
      <c r="E1461" s="60" t="n"/>
      <c r="F1461" s="61" t="n"/>
    </row>
    <row r="1462">
      <c r="A1462" s="60" t="n"/>
      <c r="B1462" s="65">
        <f>IF(A1462="","",IFERROR(INDEX(Bestand!$B$14:$B$213,MATCH(A1462,Bestand!$A$14:$A$213,0)),"ID unbekannt"))</f>
        <v/>
      </c>
      <c r="C1462" s="63" t="n"/>
      <c r="D1462" s="61" t="n"/>
      <c r="E1462" s="60" t="n"/>
      <c r="F1462" s="61" t="n"/>
    </row>
    <row r="1463">
      <c r="A1463" s="60" t="n"/>
      <c r="B1463" s="65">
        <f>IF(A1463="","",IFERROR(INDEX(Bestand!$B$14:$B$213,MATCH(A1463,Bestand!$A$14:$A$213,0)),"ID unbekannt"))</f>
        <v/>
      </c>
      <c r="C1463" s="63" t="n"/>
      <c r="D1463" s="61" t="n"/>
      <c r="E1463" s="60" t="n"/>
      <c r="F1463" s="61" t="n"/>
    </row>
    <row r="1464">
      <c r="A1464" s="60" t="n"/>
      <c r="B1464" s="65">
        <f>IF(A1464="","",IFERROR(INDEX(Bestand!$B$14:$B$213,MATCH(A1464,Bestand!$A$14:$A$213,0)),"ID unbekannt"))</f>
        <v/>
      </c>
      <c r="C1464" s="63" t="n"/>
      <c r="D1464" s="61" t="n"/>
      <c r="E1464" s="60" t="n"/>
      <c r="F1464" s="61" t="n"/>
    </row>
    <row r="1465">
      <c r="A1465" s="60" t="n"/>
      <c r="B1465" s="65">
        <f>IF(A1465="","",IFERROR(INDEX(Bestand!$B$14:$B$213,MATCH(A1465,Bestand!$A$14:$A$213,0)),"ID unbekannt"))</f>
        <v/>
      </c>
      <c r="C1465" s="63" t="n"/>
      <c r="D1465" s="61" t="n"/>
      <c r="E1465" s="60" t="n"/>
      <c r="F1465" s="61" t="n"/>
    </row>
    <row r="1466">
      <c r="A1466" s="60" t="n"/>
      <c r="B1466" s="65">
        <f>IF(A1466="","",IFERROR(INDEX(Bestand!$B$14:$B$213,MATCH(A1466,Bestand!$A$14:$A$213,0)),"ID unbekannt"))</f>
        <v/>
      </c>
      <c r="C1466" s="63" t="n"/>
      <c r="D1466" s="61" t="n"/>
      <c r="E1466" s="60" t="n"/>
      <c r="F1466" s="61" t="n"/>
    </row>
    <row r="1467">
      <c r="A1467" s="60" t="n"/>
      <c r="B1467" s="65">
        <f>IF(A1467="","",IFERROR(INDEX(Bestand!$B$14:$B$213,MATCH(A1467,Bestand!$A$14:$A$213,0)),"ID unbekannt"))</f>
        <v/>
      </c>
      <c r="C1467" s="63" t="n"/>
      <c r="D1467" s="61" t="n"/>
      <c r="E1467" s="60" t="n"/>
      <c r="F1467" s="61" t="n"/>
    </row>
    <row r="1468">
      <c r="A1468" s="60" t="n"/>
      <c r="B1468" s="65">
        <f>IF(A1468="","",IFERROR(INDEX(Bestand!$B$14:$B$213,MATCH(A1468,Bestand!$A$14:$A$213,0)),"ID unbekannt"))</f>
        <v/>
      </c>
      <c r="C1468" s="63" t="n"/>
      <c r="D1468" s="61" t="n"/>
      <c r="E1468" s="60" t="n"/>
      <c r="F1468" s="61" t="n"/>
    </row>
    <row r="1469">
      <c r="A1469" s="60" t="n"/>
      <c r="B1469" s="65">
        <f>IF(A1469="","",IFERROR(INDEX(Bestand!$B$14:$B$213,MATCH(A1469,Bestand!$A$14:$A$213,0)),"ID unbekannt"))</f>
        <v/>
      </c>
      <c r="C1469" s="63" t="n"/>
      <c r="D1469" s="61" t="n"/>
      <c r="E1469" s="60" t="n"/>
      <c r="F1469" s="61" t="n"/>
    </row>
    <row r="1470">
      <c r="A1470" s="60" t="n"/>
      <c r="B1470" s="65">
        <f>IF(A1470="","",IFERROR(INDEX(Bestand!$B$14:$B$213,MATCH(A1470,Bestand!$A$14:$A$213,0)),"ID unbekannt"))</f>
        <v/>
      </c>
      <c r="C1470" s="63" t="n"/>
      <c r="D1470" s="61" t="n"/>
      <c r="E1470" s="60" t="n"/>
      <c r="F1470" s="61" t="n"/>
    </row>
    <row r="1471">
      <c r="A1471" s="60" t="n"/>
      <c r="B1471" s="65">
        <f>IF(A1471="","",IFERROR(INDEX(Bestand!$B$14:$B$213,MATCH(A1471,Bestand!$A$14:$A$213,0)),"ID unbekannt"))</f>
        <v/>
      </c>
      <c r="C1471" s="63" t="n"/>
      <c r="D1471" s="61" t="n"/>
      <c r="E1471" s="60" t="n"/>
      <c r="F1471" s="61" t="n"/>
    </row>
    <row r="1472">
      <c r="A1472" s="60" t="n"/>
      <c r="B1472" s="65">
        <f>IF(A1472="","",IFERROR(INDEX(Bestand!$B$14:$B$213,MATCH(A1472,Bestand!$A$14:$A$213,0)),"ID unbekannt"))</f>
        <v/>
      </c>
      <c r="C1472" s="63" t="n"/>
      <c r="D1472" s="61" t="n"/>
      <c r="E1472" s="60" t="n"/>
      <c r="F1472" s="61" t="n"/>
    </row>
    <row r="1473">
      <c r="A1473" s="60" t="n"/>
      <c r="B1473" s="65">
        <f>IF(A1473="","",IFERROR(INDEX(Bestand!$B$14:$B$213,MATCH(A1473,Bestand!$A$14:$A$213,0)),"ID unbekannt"))</f>
        <v/>
      </c>
      <c r="C1473" s="63" t="n"/>
      <c r="D1473" s="61" t="n"/>
      <c r="E1473" s="60" t="n"/>
      <c r="F1473" s="61" t="n"/>
    </row>
    <row r="1474">
      <c r="A1474" s="60" t="n"/>
      <c r="B1474" s="65">
        <f>IF(A1474="","",IFERROR(INDEX(Bestand!$B$14:$B$213,MATCH(A1474,Bestand!$A$14:$A$213,0)),"ID unbekannt"))</f>
        <v/>
      </c>
      <c r="C1474" s="63" t="n"/>
      <c r="D1474" s="61" t="n"/>
      <c r="E1474" s="60" t="n"/>
      <c r="F1474" s="61" t="n"/>
    </row>
    <row r="1475">
      <c r="A1475" s="60" t="n"/>
      <c r="B1475" s="65">
        <f>IF(A1475="","",IFERROR(INDEX(Bestand!$B$14:$B$213,MATCH(A1475,Bestand!$A$14:$A$213,0)),"ID unbekannt"))</f>
        <v/>
      </c>
      <c r="C1475" s="63" t="n"/>
      <c r="D1475" s="61" t="n"/>
      <c r="E1475" s="60" t="n"/>
      <c r="F1475" s="61" t="n"/>
    </row>
    <row r="1476">
      <c r="A1476" s="60" t="n"/>
      <c r="B1476" s="65">
        <f>IF(A1476="","",IFERROR(INDEX(Bestand!$B$14:$B$213,MATCH(A1476,Bestand!$A$14:$A$213,0)),"ID unbekannt"))</f>
        <v/>
      </c>
      <c r="C1476" s="63" t="n"/>
      <c r="D1476" s="61" t="n"/>
      <c r="E1476" s="60" t="n"/>
      <c r="F1476" s="61" t="n"/>
    </row>
    <row r="1477">
      <c r="A1477" s="60" t="n"/>
      <c r="B1477" s="65">
        <f>IF(A1477="","",IFERROR(INDEX(Bestand!$B$14:$B$213,MATCH(A1477,Bestand!$A$14:$A$213,0)),"ID unbekannt"))</f>
        <v/>
      </c>
      <c r="C1477" s="63" t="n"/>
      <c r="D1477" s="61" t="n"/>
      <c r="E1477" s="60" t="n"/>
      <c r="F1477" s="61" t="n"/>
    </row>
    <row r="1478">
      <c r="A1478" s="60" t="n"/>
      <c r="B1478" s="65">
        <f>IF(A1478="","",IFERROR(INDEX(Bestand!$B$14:$B$213,MATCH(A1478,Bestand!$A$14:$A$213,0)),"ID unbekannt"))</f>
        <v/>
      </c>
      <c r="C1478" s="63" t="n"/>
      <c r="D1478" s="61" t="n"/>
      <c r="E1478" s="60" t="n"/>
      <c r="F1478" s="61" t="n"/>
    </row>
    <row r="1479">
      <c r="A1479" s="60" t="n"/>
      <c r="B1479" s="65">
        <f>IF(A1479="","",IFERROR(INDEX(Bestand!$B$14:$B$213,MATCH(A1479,Bestand!$A$14:$A$213,0)),"ID unbekannt"))</f>
        <v/>
      </c>
      <c r="C1479" s="63" t="n"/>
      <c r="D1479" s="61" t="n"/>
      <c r="E1479" s="60" t="n"/>
      <c r="F1479" s="61" t="n"/>
    </row>
    <row r="1480">
      <c r="A1480" s="60" t="n"/>
      <c r="B1480" s="65">
        <f>IF(A1480="","",IFERROR(INDEX(Bestand!$B$14:$B$213,MATCH(A1480,Bestand!$A$14:$A$213,0)),"ID unbekannt"))</f>
        <v/>
      </c>
      <c r="C1480" s="63" t="n"/>
      <c r="D1480" s="61" t="n"/>
      <c r="E1480" s="60" t="n"/>
      <c r="F1480" s="61" t="n"/>
    </row>
    <row r="1481">
      <c r="A1481" s="60" t="n"/>
      <c r="B1481" s="65">
        <f>IF(A1481="","",IFERROR(INDEX(Bestand!$B$14:$B$213,MATCH(A1481,Bestand!$A$14:$A$213,0)),"ID unbekannt"))</f>
        <v/>
      </c>
      <c r="C1481" s="63" t="n"/>
      <c r="D1481" s="61" t="n"/>
      <c r="E1481" s="60" t="n"/>
      <c r="F1481" s="61" t="n"/>
    </row>
    <row r="1482">
      <c r="A1482" s="60" t="n"/>
      <c r="B1482" s="65">
        <f>IF(A1482="","",IFERROR(INDEX(Bestand!$B$14:$B$213,MATCH(A1482,Bestand!$A$14:$A$213,0)),"ID unbekannt"))</f>
        <v/>
      </c>
      <c r="C1482" s="63" t="n"/>
      <c r="D1482" s="61" t="n"/>
      <c r="E1482" s="60" t="n"/>
      <c r="F1482" s="61" t="n"/>
    </row>
    <row r="1483">
      <c r="A1483" s="60" t="n"/>
      <c r="B1483" s="65">
        <f>IF(A1483="","",IFERROR(INDEX(Bestand!$B$14:$B$213,MATCH(A1483,Bestand!$A$14:$A$213,0)),"ID unbekannt"))</f>
        <v/>
      </c>
      <c r="C1483" s="63" t="n"/>
      <c r="D1483" s="61" t="n"/>
      <c r="E1483" s="60" t="n"/>
      <c r="F1483" s="61" t="n"/>
    </row>
    <row r="1484">
      <c r="A1484" s="60" t="n"/>
      <c r="B1484" s="65">
        <f>IF(A1484="","",IFERROR(INDEX(Bestand!$B$14:$B$213,MATCH(A1484,Bestand!$A$14:$A$213,0)),"ID unbekannt"))</f>
        <v/>
      </c>
      <c r="C1484" s="63" t="n"/>
      <c r="D1484" s="61" t="n"/>
      <c r="E1484" s="60" t="n"/>
      <c r="F1484" s="61" t="n"/>
    </row>
    <row r="1485">
      <c r="A1485" s="60" t="n"/>
      <c r="B1485" s="65">
        <f>IF(A1485="","",IFERROR(INDEX(Bestand!$B$14:$B$213,MATCH(A1485,Bestand!$A$14:$A$213,0)),"ID unbekannt"))</f>
        <v/>
      </c>
      <c r="C1485" s="63" t="n"/>
      <c r="D1485" s="61" t="n"/>
      <c r="E1485" s="60" t="n"/>
      <c r="F1485" s="61" t="n"/>
    </row>
    <row r="1486">
      <c r="A1486" s="60" t="n"/>
      <c r="B1486" s="65">
        <f>IF(A1486="","",IFERROR(INDEX(Bestand!$B$14:$B$213,MATCH(A1486,Bestand!$A$14:$A$213,0)),"ID unbekannt"))</f>
        <v/>
      </c>
      <c r="C1486" s="63" t="n"/>
      <c r="D1486" s="61" t="n"/>
      <c r="E1486" s="60" t="n"/>
      <c r="F1486" s="61" t="n"/>
    </row>
    <row r="1487">
      <c r="A1487" s="60" t="n"/>
      <c r="B1487" s="65">
        <f>IF(A1487="","",IFERROR(INDEX(Bestand!$B$14:$B$213,MATCH(A1487,Bestand!$A$14:$A$213,0)),"ID unbekannt"))</f>
        <v/>
      </c>
      <c r="C1487" s="63" t="n"/>
      <c r="D1487" s="61" t="n"/>
      <c r="E1487" s="60" t="n"/>
      <c r="F1487" s="61" t="n"/>
    </row>
    <row r="1488">
      <c r="A1488" s="60" t="n"/>
      <c r="B1488" s="65">
        <f>IF(A1488="","",IFERROR(INDEX(Bestand!$B$14:$B$213,MATCH(A1488,Bestand!$A$14:$A$213,0)),"ID unbekannt"))</f>
        <v/>
      </c>
      <c r="C1488" s="63" t="n"/>
      <c r="D1488" s="61" t="n"/>
      <c r="E1488" s="60" t="n"/>
      <c r="F1488" s="61" t="n"/>
    </row>
    <row r="1489">
      <c r="A1489" s="60" t="n"/>
      <c r="B1489" s="65">
        <f>IF(A1489="","",IFERROR(INDEX(Bestand!$B$14:$B$213,MATCH(A1489,Bestand!$A$14:$A$213,0)),"ID unbekannt"))</f>
        <v/>
      </c>
      <c r="C1489" s="63" t="n"/>
      <c r="D1489" s="61" t="n"/>
      <c r="E1489" s="60" t="n"/>
      <c r="F1489" s="61" t="n"/>
    </row>
    <row r="1490">
      <c r="A1490" s="60" t="n"/>
      <c r="B1490" s="65">
        <f>IF(A1490="","",IFERROR(INDEX(Bestand!$B$14:$B$213,MATCH(A1490,Bestand!$A$14:$A$213,0)),"ID unbekannt"))</f>
        <v/>
      </c>
      <c r="C1490" s="63" t="n"/>
      <c r="D1490" s="61" t="n"/>
      <c r="E1490" s="60" t="n"/>
      <c r="F1490" s="61" t="n"/>
    </row>
    <row r="1491">
      <c r="A1491" s="60" t="n"/>
      <c r="B1491" s="65">
        <f>IF(A1491="","",IFERROR(INDEX(Bestand!$B$14:$B$213,MATCH(A1491,Bestand!$A$14:$A$213,0)),"ID unbekannt"))</f>
        <v/>
      </c>
      <c r="C1491" s="63" t="n"/>
      <c r="D1491" s="61" t="n"/>
      <c r="E1491" s="60" t="n"/>
      <c r="F1491" s="61" t="n"/>
    </row>
    <row r="1492">
      <c r="A1492" s="60" t="n"/>
      <c r="B1492" s="65">
        <f>IF(A1492="","",IFERROR(INDEX(Bestand!$B$14:$B$213,MATCH(A1492,Bestand!$A$14:$A$213,0)),"ID unbekannt"))</f>
        <v/>
      </c>
      <c r="C1492" s="63" t="n"/>
      <c r="D1492" s="61" t="n"/>
      <c r="E1492" s="60" t="n"/>
      <c r="F1492" s="61" t="n"/>
    </row>
    <row r="1493">
      <c r="A1493" s="60" t="n"/>
      <c r="B1493" s="65">
        <f>IF(A1493="","",IFERROR(INDEX(Bestand!$B$14:$B$213,MATCH(A1493,Bestand!$A$14:$A$213,0)),"ID unbekannt"))</f>
        <v/>
      </c>
      <c r="C1493" s="63" t="n"/>
      <c r="D1493" s="61" t="n"/>
      <c r="E1493" s="60" t="n"/>
      <c r="F1493" s="61" t="n"/>
    </row>
    <row r="1494">
      <c r="A1494" s="60" t="n"/>
      <c r="B1494" s="65">
        <f>IF(A1494="","",IFERROR(INDEX(Bestand!$B$14:$B$213,MATCH(A1494,Bestand!$A$14:$A$213,0)),"ID unbekannt"))</f>
        <v/>
      </c>
      <c r="C1494" s="63" t="n"/>
      <c r="D1494" s="61" t="n"/>
      <c r="E1494" s="60" t="n"/>
      <c r="F1494" s="61" t="n"/>
    </row>
    <row r="1495">
      <c r="A1495" s="60" t="n"/>
      <c r="B1495" s="65">
        <f>IF(A1495="","",IFERROR(INDEX(Bestand!$B$14:$B$213,MATCH(A1495,Bestand!$A$14:$A$213,0)),"ID unbekannt"))</f>
        <v/>
      </c>
      <c r="C1495" s="63" t="n"/>
      <c r="D1495" s="61" t="n"/>
      <c r="E1495" s="60" t="n"/>
      <c r="F1495" s="61" t="n"/>
    </row>
    <row r="1496">
      <c r="A1496" s="60" t="n"/>
      <c r="B1496" s="65">
        <f>IF(A1496="","",IFERROR(INDEX(Bestand!$B$14:$B$213,MATCH(A1496,Bestand!$A$14:$A$213,0)),"ID unbekannt"))</f>
        <v/>
      </c>
      <c r="C1496" s="63" t="n"/>
      <c r="D1496" s="61" t="n"/>
      <c r="E1496" s="60" t="n"/>
      <c r="F1496" s="61" t="n"/>
    </row>
    <row r="1497">
      <c r="A1497" s="60" t="n"/>
      <c r="B1497" s="65">
        <f>IF(A1497="","",IFERROR(INDEX(Bestand!$B$14:$B$213,MATCH(A1497,Bestand!$A$14:$A$213,0)),"ID unbekannt"))</f>
        <v/>
      </c>
      <c r="C1497" s="63" t="n"/>
      <c r="D1497" s="61" t="n"/>
      <c r="E1497" s="60" t="n"/>
      <c r="F1497" s="61" t="n"/>
    </row>
    <row r="1498">
      <c r="A1498" s="60" t="n"/>
      <c r="B1498" s="65">
        <f>IF(A1498="","",IFERROR(INDEX(Bestand!$B$14:$B$213,MATCH(A1498,Bestand!$A$14:$A$213,0)),"ID unbekannt"))</f>
        <v/>
      </c>
      <c r="C1498" s="63" t="n"/>
      <c r="D1498" s="61" t="n"/>
      <c r="E1498" s="60" t="n"/>
      <c r="F1498" s="61" t="n"/>
    </row>
    <row r="1499">
      <c r="A1499" s="60" t="n"/>
      <c r="B1499" s="65">
        <f>IF(A1499="","",IFERROR(INDEX(Bestand!$B$14:$B$213,MATCH(A1499,Bestand!$A$14:$A$213,0)),"ID unbekannt"))</f>
        <v/>
      </c>
      <c r="C1499" s="63" t="n"/>
      <c r="D1499" s="61" t="n"/>
      <c r="E1499" s="60" t="n"/>
      <c r="F1499" s="61" t="n"/>
    </row>
    <row r="1500">
      <c r="A1500" s="60" t="n"/>
      <c r="B1500" s="65">
        <f>IF(A1500="","",IFERROR(INDEX(Bestand!$B$14:$B$213,MATCH(A1500,Bestand!$A$14:$A$213,0)),"ID unbekannt"))</f>
        <v/>
      </c>
      <c r="C1500" s="63" t="n"/>
      <c r="D1500" s="61" t="n"/>
      <c r="E1500" s="60" t="n"/>
      <c r="F1500" s="61" t="n"/>
    </row>
    <row r="1501">
      <c r="A1501" s="60" t="n"/>
      <c r="B1501" s="65">
        <f>IF(A1501="","",IFERROR(INDEX(Bestand!$B$14:$B$213,MATCH(A1501,Bestand!$A$14:$A$213,0)),"ID unbekannt"))</f>
        <v/>
      </c>
      <c r="C1501" s="63" t="n"/>
      <c r="D1501" s="61" t="n"/>
      <c r="E1501" s="60" t="n"/>
      <c r="F1501" s="61" t="n"/>
    </row>
    <row r="1502">
      <c r="A1502" s="60" t="n"/>
      <c r="B1502" s="65">
        <f>IF(A1502="","",IFERROR(INDEX(Bestand!$B$14:$B$213,MATCH(A1502,Bestand!$A$14:$A$213,0)),"ID unbekannt"))</f>
        <v/>
      </c>
      <c r="C1502" s="63" t="n"/>
      <c r="D1502" s="61" t="n"/>
      <c r="E1502" s="60" t="n"/>
      <c r="F1502" s="61" t="n"/>
    </row>
    <row r="1503">
      <c r="A1503" s="60" t="n"/>
      <c r="B1503" s="65">
        <f>IF(A1503="","",IFERROR(INDEX(Bestand!$B$14:$B$213,MATCH(A1503,Bestand!$A$14:$A$213,0)),"ID unbekannt"))</f>
        <v/>
      </c>
      <c r="C1503" s="63" t="n"/>
      <c r="D1503" s="61" t="n"/>
      <c r="E1503" s="60" t="n"/>
      <c r="F1503" s="61" t="n"/>
    </row>
    <row r="1504">
      <c r="A1504" s="60" t="n"/>
      <c r="B1504" s="65">
        <f>IF(A1504="","",IFERROR(INDEX(Bestand!$B$14:$B$213,MATCH(A1504,Bestand!$A$14:$A$213,0)),"ID unbekannt"))</f>
        <v/>
      </c>
      <c r="C1504" s="63" t="n"/>
      <c r="D1504" s="61" t="n"/>
      <c r="E1504" s="60" t="n"/>
      <c r="F1504" s="61" t="n"/>
    </row>
    <row r="1505">
      <c r="A1505" s="60" t="n"/>
      <c r="B1505" s="65">
        <f>IF(A1505="","",IFERROR(INDEX(Bestand!$B$14:$B$213,MATCH(A1505,Bestand!$A$14:$A$213,0)),"ID unbekannt"))</f>
        <v/>
      </c>
      <c r="C1505" s="63" t="n"/>
      <c r="D1505" s="61" t="n"/>
      <c r="E1505" s="60" t="n"/>
      <c r="F1505" s="61" t="n"/>
    </row>
    <row r="1506">
      <c r="A1506" s="60" t="n"/>
      <c r="B1506" s="65">
        <f>IF(A1506="","",IFERROR(INDEX(Bestand!$B$14:$B$213,MATCH(A1506,Bestand!$A$14:$A$213,0)),"ID unbekannt"))</f>
        <v/>
      </c>
      <c r="C1506" s="63" t="n"/>
      <c r="D1506" s="61" t="n"/>
      <c r="E1506" s="60" t="n"/>
      <c r="F1506" s="61" t="n"/>
    </row>
    <row r="1507">
      <c r="A1507" s="60" t="n"/>
      <c r="B1507" s="65">
        <f>IF(A1507="","",IFERROR(INDEX(Bestand!$B$14:$B$213,MATCH(A1507,Bestand!$A$14:$A$213,0)),"ID unbekannt"))</f>
        <v/>
      </c>
      <c r="C1507" s="63" t="n"/>
      <c r="D1507" s="61" t="n"/>
      <c r="E1507" s="60" t="n"/>
      <c r="F1507" s="61" t="n"/>
    </row>
    <row r="1508">
      <c r="A1508" s="60" t="n"/>
      <c r="B1508" s="65">
        <f>IF(A1508="","",IFERROR(INDEX(Bestand!$B$14:$B$213,MATCH(A1508,Bestand!$A$14:$A$213,0)),"ID unbekannt"))</f>
        <v/>
      </c>
      <c r="C1508" s="63" t="n"/>
      <c r="D1508" s="61" t="n"/>
      <c r="E1508" s="60" t="n"/>
      <c r="F1508" s="61" t="n"/>
    </row>
    <row r="1509">
      <c r="A1509" s="60" t="n"/>
      <c r="B1509" s="65">
        <f>IF(A1509="","",IFERROR(INDEX(Bestand!$B$14:$B$213,MATCH(A1509,Bestand!$A$14:$A$213,0)),"ID unbekannt"))</f>
        <v/>
      </c>
      <c r="C1509" s="63" t="n"/>
      <c r="D1509" s="61" t="n"/>
      <c r="E1509" s="60" t="n"/>
      <c r="F1509" s="61" t="n"/>
    </row>
    <row r="1510">
      <c r="A1510" s="60" t="n"/>
      <c r="B1510" s="65">
        <f>IF(A1510="","",IFERROR(INDEX(Bestand!$B$14:$B$213,MATCH(A1510,Bestand!$A$14:$A$213,0)),"ID unbekannt"))</f>
        <v/>
      </c>
      <c r="C1510" s="63" t="n"/>
      <c r="D1510" s="61" t="n"/>
      <c r="E1510" s="60" t="n"/>
      <c r="F1510" s="61" t="n"/>
    </row>
    <row r="1511">
      <c r="A1511" s="60" t="n"/>
      <c r="B1511" s="65">
        <f>IF(A1511="","",IFERROR(INDEX(Bestand!$B$14:$B$213,MATCH(A1511,Bestand!$A$14:$A$213,0)),"ID unbekannt"))</f>
        <v/>
      </c>
      <c r="C1511" s="63" t="n"/>
      <c r="D1511" s="61" t="n"/>
      <c r="E1511" s="60" t="n"/>
      <c r="F1511" s="61" t="n"/>
    </row>
    <row r="1512">
      <c r="A1512" s="60" t="n"/>
      <c r="B1512" s="65">
        <f>IF(A1512="","",IFERROR(INDEX(Bestand!$B$14:$B$213,MATCH(A1512,Bestand!$A$14:$A$213,0)),"ID unbekannt"))</f>
        <v/>
      </c>
      <c r="C1512" s="63" t="n"/>
      <c r="D1512" s="61" t="n"/>
      <c r="E1512" s="60" t="n"/>
      <c r="F1512" s="61" t="n"/>
    </row>
    <row r="1513">
      <c r="A1513" s="60" t="n"/>
      <c r="B1513" s="65">
        <f>IF(A1513="","",IFERROR(INDEX(Bestand!$B$14:$B$213,MATCH(A1513,Bestand!$A$14:$A$213,0)),"ID unbekannt"))</f>
        <v/>
      </c>
      <c r="C1513" s="63" t="n"/>
      <c r="D1513" s="61" t="n"/>
      <c r="E1513" s="60" t="n"/>
      <c r="F1513" s="61" t="n"/>
    </row>
    <row r="1514">
      <c r="A1514" s="60" t="n"/>
      <c r="B1514" s="65">
        <f>IF(A1514="","",IFERROR(INDEX(Bestand!$B$14:$B$213,MATCH(A1514,Bestand!$A$14:$A$213,0)),"ID unbekannt"))</f>
        <v/>
      </c>
      <c r="C1514" s="63" t="n"/>
      <c r="D1514" s="61" t="n"/>
      <c r="E1514" s="60" t="n"/>
      <c r="F1514" s="61" t="n"/>
    </row>
    <row r="1515">
      <c r="A1515" s="60" t="n"/>
      <c r="B1515" s="65">
        <f>IF(A1515="","",IFERROR(INDEX(Bestand!$B$14:$B$213,MATCH(A1515,Bestand!$A$14:$A$213,0)),"ID unbekannt"))</f>
        <v/>
      </c>
      <c r="C1515" s="63" t="n"/>
      <c r="D1515" s="61" t="n"/>
      <c r="E1515" s="60" t="n"/>
      <c r="F1515" s="61" t="n"/>
    </row>
    <row r="1516">
      <c r="A1516" s="60" t="n"/>
      <c r="B1516" s="65">
        <f>IF(A1516="","",IFERROR(INDEX(Bestand!$B$14:$B$213,MATCH(A1516,Bestand!$A$14:$A$213,0)),"ID unbekannt"))</f>
        <v/>
      </c>
      <c r="C1516" s="63" t="n"/>
      <c r="D1516" s="61" t="n"/>
      <c r="E1516" s="60" t="n"/>
      <c r="F1516" s="61" t="n"/>
    </row>
    <row r="1517">
      <c r="A1517" s="60" t="n"/>
      <c r="B1517" s="65">
        <f>IF(A1517="","",IFERROR(INDEX(Bestand!$B$14:$B$213,MATCH(A1517,Bestand!$A$14:$A$213,0)),"ID unbekannt"))</f>
        <v/>
      </c>
      <c r="C1517" s="63" t="n"/>
      <c r="D1517" s="61" t="n"/>
      <c r="E1517" s="60" t="n"/>
      <c r="F1517" s="61" t="n"/>
    </row>
    <row r="1518">
      <c r="A1518" s="60" t="n"/>
      <c r="B1518" s="65">
        <f>IF(A1518="","",IFERROR(INDEX(Bestand!$B$14:$B$213,MATCH(A1518,Bestand!$A$14:$A$213,0)),"ID unbekannt"))</f>
        <v/>
      </c>
      <c r="C1518" s="63" t="n"/>
      <c r="D1518" s="61" t="n"/>
      <c r="E1518" s="60" t="n"/>
      <c r="F1518" s="61" t="n"/>
    </row>
    <row r="1519">
      <c r="A1519" s="60" t="n"/>
      <c r="B1519" s="65">
        <f>IF(A1519="","",IFERROR(INDEX(Bestand!$B$14:$B$213,MATCH(A1519,Bestand!$A$14:$A$213,0)),"ID unbekannt"))</f>
        <v/>
      </c>
      <c r="C1519" s="63" t="n"/>
      <c r="D1519" s="61" t="n"/>
      <c r="E1519" s="60" t="n"/>
      <c r="F1519" s="61" t="n"/>
    </row>
    <row r="1520">
      <c r="A1520" s="60" t="n"/>
      <c r="B1520" s="65">
        <f>IF(A1520="","",IFERROR(INDEX(Bestand!$B$14:$B$213,MATCH(A1520,Bestand!$A$14:$A$213,0)),"ID unbekannt"))</f>
        <v/>
      </c>
      <c r="C1520" s="63" t="n"/>
      <c r="D1520" s="61" t="n"/>
      <c r="E1520" s="60" t="n"/>
      <c r="F1520" s="61" t="n"/>
    </row>
    <row r="1521">
      <c r="A1521" s="60" t="n"/>
      <c r="B1521" s="65">
        <f>IF(A1521="","",IFERROR(INDEX(Bestand!$B$14:$B$213,MATCH(A1521,Bestand!$A$14:$A$213,0)),"ID unbekannt"))</f>
        <v/>
      </c>
      <c r="C1521" s="63" t="n"/>
      <c r="D1521" s="61" t="n"/>
      <c r="E1521" s="60" t="n"/>
      <c r="F1521" s="61" t="n"/>
    </row>
    <row r="1522">
      <c r="A1522" s="60" t="n"/>
      <c r="B1522" s="65">
        <f>IF(A1522="","",IFERROR(INDEX(Bestand!$B$14:$B$213,MATCH(A1522,Bestand!$A$14:$A$213,0)),"ID unbekannt"))</f>
        <v/>
      </c>
      <c r="C1522" s="63" t="n"/>
      <c r="D1522" s="61" t="n"/>
      <c r="E1522" s="60" t="n"/>
      <c r="F1522" s="61" t="n"/>
    </row>
    <row r="1523">
      <c r="A1523" s="60" t="n"/>
      <c r="B1523" s="65">
        <f>IF(A1523="","",IFERROR(INDEX(Bestand!$B$14:$B$213,MATCH(A1523,Bestand!$A$14:$A$213,0)),"ID unbekannt"))</f>
        <v/>
      </c>
      <c r="C1523" s="63" t="n"/>
      <c r="D1523" s="61" t="n"/>
      <c r="E1523" s="60" t="n"/>
      <c r="F1523" s="61" t="n"/>
    </row>
    <row r="1524">
      <c r="A1524" s="60" t="n"/>
      <c r="B1524" s="65">
        <f>IF(A1524="","",IFERROR(INDEX(Bestand!$B$14:$B$213,MATCH(A1524,Bestand!$A$14:$A$213,0)),"ID unbekannt"))</f>
        <v/>
      </c>
      <c r="C1524" s="63" t="n"/>
      <c r="D1524" s="61" t="n"/>
      <c r="E1524" s="60" t="n"/>
      <c r="F1524" s="61" t="n"/>
    </row>
    <row r="1525">
      <c r="A1525" s="60" t="n"/>
      <c r="B1525" s="65">
        <f>IF(A1525="","",IFERROR(INDEX(Bestand!$B$14:$B$213,MATCH(A1525,Bestand!$A$14:$A$213,0)),"ID unbekannt"))</f>
        <v/>
      </c>
      <c r="C1525" s="63" t="n"/>
      <c r="D1525" s="61" t="n"/>
      <c r="E1525" s="60" t="n"/>
      <c r="F1525" s="61" t="n"/>
    </row>
    <row r="1526">
      <c r="A1526" s="60" t="n"/>
      <c r="B1526" s="65">
        <f>IF(A1526="","",IFERROR(INDEX(Bestand!$B$14:$B$213,MATCH(A1526,Bestand!$A$14:$A$213,0)),"ID unbekannt"))</f>
        <v/>
      </c>
      <c r="C1526" s="63" t="n"/>
      <c r="D1526" s="61" t="n"/>
      <c r="E1526" s="60" t="n"/>
      <c r="F1526" s="61" t="n"/>
    </row>
    <row r="1527">
      <c r="A1527" s="60" t="n"/>
      <c r="B1527" s="65">
        <f>IF(A1527="","",IFERROR(INDEX(Bestand!$B$14:$B$213,MATCH(A1527,Bestand!$A$14:$A$213,0)),"ID unbekannt"))</f>
        <v/>
      </c>
      <c r="C1527" s="63" t="n"/>
      <c r="D1527" s="61" t="n"/>
      <c r="E1527" s="60" t="n"/>
      <c r="F1527" s="61" t="n"/>
    </row>
    <row r="1528">
      <c r="A1528" s="60" t="n"/>
      <c r="B1528" s="65">
        <f>IF(A1528="","",IFERROR(INDEX(Bestand!$B$14:$B$213,MATCH(A1528,Bestand!$A$14:$A$213,0)),"ID unbekannt"))</f>
        <v/>
      </c>
      <c r="C1528" s="63" t="n"/>
      <c r="D1528" s="61" t="n"/>
      <c r="E1528" s="60" t="n"/>
      <c r="F1528" s="61" t="n"/>
    </row>
    <row r="1529">
      <c r="A1529" s="60" t="n"/>
      <c r="B1529" s="65">
        <f>IF(A1529="","",IFERROR(INDEX(Bestand!$B$14:$B$213,MATCH(A1529,Bestand!$A$14:$A$213,0)),"ID unbekannt"))</f>
        <v/>
      </c>
      <c r="C1529" s="63" t="n"/>
      <c r="D1529" s="61" t="n"/>
      <c r="E1529" s="60" t="n"/>
      <c r="F1529" s="61" t="n"/>
    </row>
    <row r="1530">
      <c r="A1530" s="60" t="n"/>
      <c r="B1530" s="65">
        <f>IF(A1530="","",IFERROR(INDEX(Bestand!$B$14:$B$213,MATCH(A1530,Bestand!$A$14:$A$213,0)),"ID unbekannt"))</f>
        <v/>
      </c>
      <c r="C1530" s="63" t="n"/>
      <c r="D1530" s="61" t="n"/>
      <c r="E1530" s="60" t="n"/>
      <c r="F1530" s="61" t="n"/>
    </row>
    <row r="1531">
      <c r="A1531" s="60" t="n"/>
      <c r="B1531" s="65">
        <f>IF(A1531="","",IFERROR(INDEX(Bestand!$B$14:$B$213,MATCH(A1531,Bestand!$A$14:$A$213,0)),"ID unbekannt"))</f>
        <v/>
      </c>
      <c r="C1531" s="63" t="n"/>
      <c r="D1531" s="61" t="n"/>
      <c r="E1531" s="60" t="n"/>
      <c r="F1531" s="61" t="n"/>
    </row>
    <row r="1532">
      <c r="A1532" s="60" t="n"/>
      <c r="B1532" s="65">
        <f>IF(A1532="","",IFERROR(INDEX(Bestand!$B$14:$B$213,MATCH(A1532,Bestand!$A$14:$A$213,0)),"ID unbekannt"))</f>
        <v/>
      </c>
      <c r="C1532" s="63" t="n"/>
      <c r="D1532" s="61" t="n"/>
      <c r="E1532" s="60" t="n"/>
      <c r="F1532" s="61" t="n"/>
    </row>
    <row r="1533">
      <c r="A1533" s="60" t="n"/>
      <c r="B1533" s="65">
        <f>IF(A1533="","",IFERROR(INDEX(Bestand!$B$14:$B$213,MATCH(A1533,Bestand!$A$14:$A$213,0)),"ID unbekannt"))</f>
        <v/>
      </c>
      <c r="C1533" s="63" t="n"/>
      <c r="D1533" s="61" t="n"/>
      <c r="E1533" s="60" t="n"/>
      <c r="F1533" s="61" t="n"/>
    </row>
    <row r="1534">
      <c r="A1534" s="60" t="n"/>
      <c r="B1534" s="65">
        <f>IF(A1534="","",IFERROR(INDEX(Bestand!$B$14:$B$213,MATCH(A1534,Bestand!$A$14:$A$213,0)),"ID unbekannt"))</f>
        <v/>
      </c>
      <c r="C1534" s="63" t="n"/>
      <c r="D1534" s="61" t="n"/>
      <c r="E1534" s="60" t="n"/>
      <c r="F1534" s="61" t="n"/>
    </row>
    <row r="1535">
      <c r="A1535" s="60" t="n"/>
      <c r="B1535" s="65">
        <f>IF(A1535="","",IFERROR(INDEX(Bestand!$B$14:$B$213,MATCH(A1535,Bestand!$A$14:$A$213,0)),"ID unbekannt"))</f>
        <v/>
      </c>
      <c r="C1535" s="63" t="n"/>
      <c r="D1535" s="61" t="n"/>
      <c r="E1535" s="60" t="n"/>
      <c r="F1535" s="61" t="n"/>
    </row>
    <row r="1536">
      <c r="A1536" s="60" t="n"/>
      <c r="B1536" s="65">
        <f>IF(A1536="","",IFERROR(INDEX(Bestand!$B$14:$B$213,MATCH(A1536,Bestand!$A$14:$A$213,0)),"ID unbekannt"))</f>
        <v/>
      </c>
      <c r="C1536" s="63" t="n"/>
      <c r="D1536" s="61" t="n"/>
      <c r="E1536" s="60" t="n"/>
      <c r="F1536" s="61" t="n"/>
    </row>
    <row r="1537">
      <c r="A1537" s="60" t="n"/>
      <c r="B1537" s="65">
        <f>IF(A1537="","",IFERROR(INDEX(Bestand!$B$14:$B$213,MATCH(A1537,Bestand!$A$14:$A$213,0)),"ID unbekannt"))</f>
        <v/>
      </c>
      <c r="C1537" s="63" t="n"/>
      <c r="D1537" s="61" t="n"/>
      <c r="E1537" s="60" t="n"/>
      <c r="F1537" s="61" t="n"/>
    </row>
    <row r="1538">
      <c r="A1538" s="60" t="n"/>
      <c r="B1538" s="65">
        <f>IF(A1538="","",IFERROR(INDEX(Bestand!$B$14:$B$213,MATCH(A1538,Bestand!$A$14:$A$213,0)),"ID unbekannt"))</f>
        <v/>
      </c>
      <c r="C1538" s="63" t="n"/>
      <c r="D1538" s="61" t="n"/>
      <c r="E1538" s="60" t="n"/>
      <c r="F1538" s="61" t="n"/>
    </row>
    <row r="1539">
      <c r="A1539" s="60" t="n"/>
      <c r="B1539" s="65">
        <f>IF(A1539="","",IFERROR(INDEX(Bestand!$B$14:$B$213,MATCH(A1539,Bestand!$A$14:$A$213,0)),"ID unbekannt"))</f>
        <v/>
      </c>
      <c r="C1539" s="63" t="n"/>
      <c r="D1539" s="61" t="n"/>
      <c r="E1539" s="60" t="n"/>
      <c r="F1539" s="61" t="n"/>
    </row>
    <row r="1540">
      <c r="A1540" s="60" t="n"/>
      <c r="B1540" s="65">
        <f>IF(A1540="","",IFERROR(INDEX(Bestand!$B$14:$B$213,MATCH(A1540,Bestand!$A$14:$A$213,0)),"ID unbekannt"))</f>
        <v/>
      </c>
      <c r="C1540" s="63" t="n"/>
      <c r="D1540" s="61" t="n"/>
      <c r="E1540" s="60" t="n"/>
      <c r="F1540" s="61" t="n"/>
    </row>
    <row r="1541">
      <c r="A1541" s="60" t="n"/>
      <c r="B1541" s="65">
        <f>IF(A1541="","",IFERROR(INDEX(Bestand!$B$14:$B$213,MATCH(A1541,Bestand!$A$14:$A$213,0)),"ID unbekannt"))</f>
        <v/>
      </c>
      <c r="C1541" s="63" t="n"/>
      <c r="D1541" s="61" t="n"/>
      <c r="E1541" s="60" t="n"/>
      <c r="F1541" s="61" t="n"/>
    </row>
    <row r="1542">
      <c r="A1542" s="60" t="n"/>
      <c r="B1542" s="65">
        <f>IF(A1542="","",IFERROR(INDEX(Bestand!$B$14:$B$213,MATCH(A1542,Bestand!$A$14:$A$213,0)),"ID unbekannt"))</f>
        <v/>
      </c>
      <c r="C1542" s="63" t="n"/>
      <c r="D1542" s="61" t="n"/>
      <c r="E1542" s="60" t="n"/>
      <c r="F1542" s="61" t="n"/>
    </row>
    <row r="1543">
      <c r="A1543" s="60" t="n"/>
      <c r="B1543" s="65">
        <f>IF(A1543="","",IFERROR(INDEX(Bestand!$B$14:$B$213,MATCH(A1543,Bestand!$A$14:$A$213,0)),"ID unbekannt"))</f>
        <v/>
      </c>
      <c r="C1543" s="63" t="n"/>
      <c r="D1543" s="61" t="n"/>
      <c r="E1543" s="60" t="n"/>
      <c r="F1543" s="61" t="n"/>
    </row>
    <row r="1544">
      <c r="A1544" s="60" t="n"/>
      <c r="B1544" s="65">
        <f>IF(A1544="","",IFERROR(INDEX(Bestand!$B$14:$B$213,MATCH(A1544,Bestand!$A$14:$A$213,0)),"ID unbekannt"))</f>
        <v/>
      </c>
      <c r="C1544" s="63" t="n"/>
      <c r="D1544" s="61" t="n"/>
      <c r="E1544" s="60" t="n"/>
      <c r="F1544" s="61" t="n"/>
    </row>
    <row r="1545">
      <c r="A1545" s="60" t="n"/>
      <c r="B1545" s="65">
        <f>IF(A1545="","",IFERROR(INDEX(Bestand!$B$14:$B$213,MATCH(A1545,Bestand!$A$14:$A$213,0)),"ID unbekannt"))</f>
        <v/>
      </c>
      <c r="C1545" s="63" t="n"/>
      <c r="D1545" s="61" t="n"/>
      <c r="E1545" s="60" t="n"/>
      <c r="F1545" s="61" t="n"/>
    </row>
    <row r="1546">
      <c r="A1546" s="60" t="n"/>
      <c r="B1546" s="65">
        <f>IF(A1546="","",IFERROR(INDEX(Bestand!$B$14:$B$213,MATCH(A1546,Bestand!$A$14:$A$213,0)),"ID unbekannt"))</f>
        <v/>
      </c>
      <c r="C1546" s="63" t="n"/>
      <c r="D1546" s="61" t="n"/>
      <c r="E1546" s="60" t="n"/>
      <c r="F1546" s="61" t="n"/>
    </row>
    <row r="1547">
      <c r="A1547" s="60" t="n"/>
      <c r="B1547" s="65">
        <f>IF(A1547="","",IFERROR(INDEX(Bestand!$B$14:$B$213,MATCH(A1547,Bestand!$A$14:$A$213,0)),"ID unbekannt"))</f>
        <v/>
      </c>
      <c r="C1547" s="63" t="n"/>
      <c r="D1547" s="61" t="n"/>
      <c r="E1547" s="60" t="n"/>
      <c r="F1547" s="61" t="n"/>
    </row>
    <row r="1548">
      <c r="A1548" s="60" t="n"/>
      <c r="B1548" s="65">
        <f>IF(A1548="","",IFERROR(INDEX(Bestand!$B$14:$B$213,MATCH(A1548,Bestand!$A$14:$A$213,0)),"ID unbekannt"))</f>
        <v/>
      </c>
      <c r="C1548" s="63" t="n"/>
      <c r="D1548" s="61" t="n"/>
      <c r="E1548" s="60" t="n"/>
      <c r="F1548" s="61" t="n"/>
    </row>
    <row r="1549">
      <c r="A1549" s="60" t="n"/>
      <c r="B1549" s="65">
        <f>IF(A1549="","",IFERROR(INDEX(Bestand!$B$14:$B$213,MATCH(A1549,Bestand!$A$14:$A$213,0)),"ID unbekannt"))</f>
        <v/>
      </c>
      <c r="C1549" s="63" t="n"/>
      <c r="D1549" s="61" t="n"/>
      <c r="E1549" s="60" t="n"/>
      <c r="F1549" s="61" t="n"/>
    </row>
    <row r="1550">
      <c r="A1550" s="60" t="n"/>
      <c r="B1550" s="65">
        <f>IF(A1550="","",IFERROR(INDEX(Bestand!$B$14:$B$213,MATCH(A1550,Bestand!$A$14:$A$213,0)),"ID unbekannt"))</f>
        <v/>
      </c>
      <c r="C1550" s="63" t="n"/>
      <c r="D1550" s="61" t="n"/>
      <c r="E1550" s="60" t="n"/>
      <c r="F1550" s="61" t="n"/>
    </row>
    <row r="1551">
      <c r="A1551" s="60" t="n"/>
      <c r="B1551" s="65">
        <f>IF(A1551="","",IFERROR(INDEX(Bestand!$B$14:$B$213,MATCH(A1551,Bestand!$A$14:$A$213,0)),"ID unbekannt"))</f>
        <v/>
      </c>
      <c r="C1551" s="63" t="n"/>
      <c r="D1551" s="61" t="n"/>
      <c r="E1551" s="60" t="n"/>
      <c r="F1551" s="61" t="n"/>
    </row>
    <row r="1552">
      <c r="A1552" s="60" t="n"/>
      <c r="B1552" s="65">
        <f>IF(A1552="","",IFERROR(INDEX(Bestand!$B$14:$B$213,MATCH(A1552,Bestand!$A$14:$A$213,0)),"ID unbekannt"))</f>
        <v/>
      </c>
      <c r="C1552" s="63" t="n"/>
      <c r="D1552" s="61" t="n"/>
      <c r="E1552" s="60" t="n"/>
      <c r="F1552" s="61" t="n"/>
    </row>
    <row r="1553">
      <c r="A1553" s="60" t="n"/>
      <c r="B1553" s="65">
        <f>IF(A1553="","",IFERROR(INDEX(Bestand!$B$14:$B$213,MATCH(A1553,Bestand!$A$14:$A$213,0)),"ID unbekannt"))</f>
        <v/>
      </c>
      <c r="C1553" s="63" t="n"/>
      <c r="D1553" s="61" t="n"/>
      <c r="E1553" s="60" t="n"/>
      <c r="F1553" s="61" t="n"/>
    </row>
    <row r="1554">
      <c r="A1554" s="60" t="n"/>
      <c r="B1554" s="65">
        <f>IF(A1554="","",IFERROR(INDEX(Bestand!$B$14:$B$213,MATCH(A1554,Bestand!$A$14:$A$213,0)),"ID unbekannt"))</f>
        <v/>
      </c>
      <c r="C1554" s="63" t="n"/>
      <c r="D1554" s="61" t="n"/>
      <c r="E1554" s="60" t="n"/>
      <c r="F1554" s="61" t="n"/>
    </row>
    <row r="1555">
      <c r="A1555" s="60" t="n"/>
      <c r="B1555" s="65">
        <f>IF(A1555="","",IFERROR(INDEX(Bestand!$B$14:$B$213,MATCH(A1555,Bestand!$A$14:$A$213,0)),"ID unbekannt"))</f>
        <v/>
      </c>
      <c r="C1555" s="63" t="n"/>
      <c r="D1555" s="61" t="n"/>
      <c r="E1555" s="60" t="n"/>
      <c r="F1555" s="61" t="n"/>
    </row>
    <row r="1556">
      <c r="A1556" s="60" t="n"/>
      <c r="B1556" s="65">
        <f>IF(A1556="","",IFERROR(INDEX(Bestand!$B$14:$B$213,MATCH(A1556,Bestand!$A$14:$A$213,0)),"ID unbekannt"))</f>
        <v/>
      </c>
      <c r="C1556" s="63" t="n"/>
      <c r="D1556" s="61" t="n"/>
      <c r="E1556" s="60" t="n"/>
      <c r="F1556" s="61" t="n"/>
    </row>
    <row r="1557">
      <c r="A1557" s="60" t="n"/>
      <c r="B1557" s="65">
        <f>IF(A1557="","",IFERROR(INDEX(Bestand!$B$14:$B$213,MATCH(A1557,Bestand!$A$14:$A$213,0)),"ID unbekannt"))</f>
        <v/>
      </c>
      <c r="C1557" s="63" t="n"/>
      <c r="D1557" s="61" t="n"/>
      <c r="E1557" s="60" t="n"/>
      <c r="F1557" s="61" t="n"/>
    </row>
    <row r="1558">
      <c r="A1558" s="60" t="n"/>
      <c r="B1558" s="65">
        <f>IF(A1558="","",IFERROR(INDEX(Bestand!$B$14:$B$213,MATCH(A1558,Bestand!$A$14:$A$213,0)),"ID unbekannt"))</f>
        <v/>
      </c>
      <c r="C1558" s="63" t="n"/>
      <c r="D1558" s="61" t="n"/>
      <c r="E1558" s="60" t="n"/>
      <c r="F1558" s="61" t="n"/>
    </row>
    <row r="1559">
      <c r="A1559" s="60" t="n"/>
      <c r="B1559" s="65">
        <f>IF(A1559="","",IFERROR(INDEX(Bestand!$B$14:$B$213,MATCH(A1559,Bestand!$A$14:$A$213,0)),"ID unbekannt"))</f>
        <v/>
      </c>
      <c r="C1559" s="63" t="n"/>
      <c r="D1559" s="61" t="n"/>
      <c r="E1559" s="60" t="n"/>
      <c r="F1559" s="61" t="n"/>
    </row>
    <row r="1560">
      <c r="A1560" s="60" t="n"/>
      <c r="B1560" s="65">
        <f>IF(A1560="","",IFERROR(INDEX(Bestand!$B$14:$B$213,MATCH(A1560,Bestand!$A$14:$A$213,0)),"ID unbekannt"))</f>
        <v/>
      </c>
      <c r="C1560" s="63" t="n"/>
      <c r="D1560" s="61" t="n"/>
      <c r="E1560" s="60" t="n"/>
      <c r="F1560" s="61" t="n"/>
    </row>
    <row r="1561">
      <c r="A1561" s="60" t="n"/>
      <c r="B1561" s="65">
        <f>IF(A1561="","",IFERROR(INDEX(Bestand!$B$14:$B$213,MATCH(A1561,Bestand!$A$14:$A$213,0)),"ID unbekannt"))</f>
        <v/>
      </c>
      <c r="C1561" s="63" t="n"/>
      <c r="D1561" s="61" t="n"/>
      <c r="E1561" s="60" t="n"/>
      <c r="F1561" s="61" t="n"/>
    </row>
    <row r="1562">
      <c r="A1562" s="60" t="n"/>
      <c r="B1562" s="65">
        <f>IF(A1562="","",IFERROR(INDEX(Bestand!$B$14:$B$213,MATCH(A1562,Bestand!$A$14:$A$213,0)),"ID unbekannt"))</f>
        <v/>
      </c>
      <c r="C1562" s="63" t="n"/>
      <c r="D1562" s="61" t="n"/>
      <c r="E1562" s="60" t="n"/>
      <c r="F1562" s="61" t="n"/>
    </row>
    <row r="1563">
      <c r="A1563" s="60" t="n"/>
      <c r="B1563" s="65">
        <f>IF(A1563="","",IFERROR(INDEX(Bestand!$B$14:$B$213,MATCH(A1563,Bestand!$A$14:$A$213,0)),"ID unbekannt"))</f>
        <v/>
      </c>
      <c r="C1563" s="63" t="n"/>
      <c r="D1563" s="61" t="n"/>
      <c r="E1563" s="60" t="n"/>
      <c r="F1563" s="61" t="n"/>
    </row>
    <row r="1564">
      <c r="A1564" s="60" t="n"/>
      <c r="B1564" s="65">
        <f>IF(A1564="","",IFERROR(INDEX(Bestand!$B$14:$B$213,MATCH(A1564,Bestand!$A$14:$A$213,0)),"ID unbekannt"))</f>
        <v/>
      </c>
      <c r="C1564" s="63" t="n"/>
      <c r="D1564" s="61" t="n"/>
      <c r="E1564" s="60" t="n"/>
      <c r="F1564" s="61" t="n"/>
    </row>
    <row r="1565">
      <c r="A1565" s="60" t="n"/>
      <c r="B1565" s="65">
        <f>IF(A1565="","",IFERROR(INDEX(Bestand!$B$14:$B$213,MATCH(A1565,Bestand!$A$14:$A$213,0)),"ID unbekannt"))</f>
        <v/>
      </c>
      <c r="C1565" s="63" t="n"/>
      <c r="D1565" s="61" t="n"/>
      <c r="E1565" s="60" t="n"/>
      <c r="F1565" s="61" t="n"/>
    </row>
    <row r="1566">
      <c r="A1566" s="60" t="n"/>
      <c r="B1566" s="65">
        <f>IF(A1566="","",IFERROR(INDEX(Bestand!$B$14:$B$213,MATCH(A1566,Bestand!$A$14:$A$213,0)),"ID unbekannt"))</f>
        <v/>
      </c>
      <c r="C1566" s="63" t="n"/>
      <c r="D1566" s="61" t="n"/>
      <c r="E1566" s="60" t="n"/>
      <c r="F1566" s="61" t="n"/>
    </row>
    <row r="1567">
      <c r="A1567" s="60" t="n"/>
      <c r="B1567" s="65">
        <f>IF(A1567="","",IFERROR(INDEX(Bestand!$B$14:$B$213,MATCH(A1567,Bestand!$A$14:$A$213,0)),"ID unbekannt"))</f>
        <v/>
      </c>
      <c r="C1567" s="63" t="n"/>
      <c r="D1567" s="61" t="n"/>
      <c r="E1567" s="60" t="n"/>
      <c r="F1567" s="61" t="n"/>
    </row>
    <row r="1568">
      <c r="A1568" s="60" t="n"/>
      <c r="B1568" s="65">
        <f>IF(A1568="","",IFERROR(INDEX(Bestand!$B$14:$B$213,MATCH(A1568,Bestand!$A$14:$A$213,0)),"ID unbekannt"))</f>
        <v/>
      </c>
      <c r="C1568" s="63" t="n"/>
      <c r="D1568" s="61" t="n"/>
      <c r="E1568" s="60" t="n"/>
      <c r="F1568" s="61" t="n"/>
    </row>
    <row r="1569">
      <c r="A1569" s="60" t="n"/>
      <c r="B1569" s="65">
        <f>IF(A1569="","",IFERROR(INDEX(Bestand!$B$14:$B$213,MATCH(A1569,Bestand!$A$14:$A$213,0)),"ID unbekannt"))</f>
        <v/>
      </c>
      <c r="C1569" s="63" t="n"/>
      <c r="D1569" s="61" t="n"/>
      <c r="E1569" s="60" t="n"/>
      <c r="F1569" s="61" t="n"/>
    </row>
    <row r="1570">
      <c r="A1570" s="60" t="n"/>
      <c r="B1570" s="65">
        <f>IF(A1570="","",IFERROR(INDEX(Bestand!$B$14:$B$213,MATCH(A1570,Bestand!$A$14:$A$213,0)),"ID unbekannt"))</f>
        <v/>
      </c>
      <c r="C1570" s="63" t="n"/>
      <c r="D1570" s="61" t="n"/>
      <c r="E1570" s="60" t="n"/>
      <c r="F1570" s="61" t="n"/>
    </row>
    <row r="1571">
      <c r="A1571" s="60" t="n"/>
      <c r="B1571" s="65">
        <f>IF(A1571="","",IFERROR(INDEX(Bestand!$B$14:$B$213,MATCH(A1571,Bestand!$A$14:$A$213,0)),"ID unbekannt"))</f>
        <v/>
      </c>
      <c r="C1571" s="63" t="n"/>
      <c r="D1571" s="61" t="n"/>
      <c r="E1571" s="60" t="n"/>
      <c r="F1571" s="61" t="n"/>
    </row>
    <row r="1572">
      <c r="A1572" s="60" t="n"/>
      <c r="B1572" s="65">
        <f>IF(A1572="","",IFERROR(INDEX(Bestand!$B$14:$B$213,MATCH(A1572,Bestand!$A$14:$A$213,0)),"ID unbekannt"))</f>
        <v/>
      </c>
      <c r="C1572" s="63" t="n"/>
      <c r="D1572" s="61" t="n"/>
      <c r="E1572" s="60" t="n"/>
      <c r="F1572" s="61" t="n"/>
    </row>
    <row r="1573">
      <c r="A1573" s="60" t="n"/>
      <c r="B1573" s="65">
        <f>IF(A1573="","",IFERROR(INDEX(Bestand!$B$14:$B$213,MATCH(A1573,Bestand!$A$14:$A$213,0)),"ID unbekannt"))</f>
        <v/>
      </c>
      <c r="C1573" s="63" t="n"/>
      <c r="D1573" s="61" t="n"/>
      <c r="E1573" s="60" t="n"/>
      <c r="F1573" s="61" t="n"/>
    </row>
    <row r="1574">
      <c r="A1574" s="60" t="n"/>
      <c r="B1574" s="65">
        <f>IF(A1574="","",IFERROR(INDEX(Bestand!$B$14:$B$213,MATCH(A1574,Bestand!$A$14:$A$213,0)),"ID unbekannt"))</f>
        <v/>
      </c>
      <c r="C1574" s="63" t="n"/>
      <c r="D1574" s="61" t="n"/>
      <c r="E1574" s="60" t="n"/>
      <c r="F1574" s="61" t="n"/>
    </row>
    <row r="1575">
      <c r="A1575" s="60" t="n"/>
      <c r="B1575" s="65">
        <f>IF(A1575="","",IFERROR(INDEX(Bestand!$B$14:$B$213,MATCH(A1575,Bestand!$A$14:$A$213,0)),"ID unbekannt"))</f>
        <v/>
      </c>
      <c r="C1575" s="63" t="n"/>
      <c r="D1575" s="61" t="n"/>
      <c r="E1575" s="60" t="n"/>
      <c r="F1575" s="61" t="n"/>
    </row>
    <row r="1576">
      <c r="A1576" s="60" t="n"/>
      <c r="B1576" s="65">
        <f>IF(A1576="","",IFERROR(INDEX(Bestand!$B$14:$B$213,MATCH(A1576,Bestand!$A$14:$A$213,0)),"ID unbekannt"))</f>
        <v/>
      </c>
      <c r="C1576" s="63" t="n"/>
      <c r="D1576" s="61" t="n"/>
      <c r="E1576" s="60" t="n"/>
      <c r="F1576" s="61" t="n"/>
    </row>
    <row r="1577">
      <c r="A1577" s="60" t="n"/>
      <c r="B1577" s="65">
        <f>IF(A1577="","",IFERROR(INDEX(Bestand!$B$14:$B$213,MATCH(A1577,Bestand!$A$14:$A$213,0)),"ID unbekannt"))</f>
        <v/>
      </c>
      <c r="C1577" s="63" t="n"/>
      <c r="D1577" s="61" t="n"/>
      <c r="E1577" s="60" t="n"/>
      <c r="F1577" s="61" t="n"/>
    </row>
    <row r="1578">
      <c r="A1578" s="60" t="n"/>
      <c r="B1578" s="65">
        <f>IF(A1578="","",IFERROR(INDEX(Bestand!$B$14:$B$213,MATCH(A1578,Bestand!$A$14:$A$213,0)),"ID unbekannt"))</f>
        <v/>
      </c>
      <c r="C1578" s="63" t="n"/>
      <c r="D1578" s="61" t="n"/>
      <c r="E1578" s="60" t="n"/>
      <c r="F1578" s="61" t="n"/>
    </row>
    <row r="1579">
      <c r="A1579" s="60" t="n"/>
      <c r="B1579" s="65">
        <f>IF(A1579="","",IFERROR(INDEX(Bestand!$B$14:$B$213,MATCH(A1579,Bestand!$A$14:$A$213,0)),"ID unbekannt"))</f>
        <v/>
      </c>
      <c r="C1579" s="63" t="n"/>
      <c r="D1579" s="61" t="n"/>
      <c r="E1579" s="60" t="n"/>
      <c r="F1579" s="61" t="n"/>
    </row>
    <row r="1580">
      <c r="A1580" s="60" t="n"/>
      <c r="B1580" s="65">
        <f>IF(A1580="","",IFERROR(INDEX(Bestand!$B$14:$B$213,MATCH(A1580,Bestand!$A$14:$A$213,0)),"ID unbekannt"))</f>
        <v/>
      </c>
      <c r="C1580" s="63" t="n"/>
      <c r="D1580" s="61" t="n"/>
      <c r="E1580" s="60" t="n"/>
      <c r="F1580" s="61" t="n"/>
    </row>
    <row r="1581">
      <c r="A1581" s="60" t="n"/>
      <c r="B1581" s="65">
        <f>IF(A1581="","",IFERROR(INDEX(Bestand!$B$14:$B$213,MATCH(A1581,Bestand!$A$14:$A$213,0)),"ID unbekannt"))</f>
        <v/>
      </c>
      <c r="C1581" s="63" t="n"/>
      <c r="D1581" s="61" t="n"/>
      <c r="E1581" s="60" t="n"/>
      <c r="F1581" s="61" t="n"/>
    </row>
    <row r="1582">
      <c r="A1582" s="60" t="n"/>
      <c r="B1582" s="65">
        <f>IF(A1582="","",IFERROR(INDEX(Bestand!$B$14:$B$213,MATCH(A1582,Bestand!$A$14:$A$213,0)),"ID unbekannt"))</f>
        <v/>
      </c>
      <c r="C1582" s="63" t="n"/>
      <c r="D1582" s="61" t="n"/>
      <c r="E1582" s="60" t="n"/>
      <c r="F1582" s="61" t="n"/>
    </row>
    <row r="1583">
      <c r="A1583" s="60" t="n"/>
      <c r="B1583" s="65">
        <f>IF(A1583="","",IFERROR(INDEX(Bestand!$B$14:$B$213,MATCH(A1583,Bestand!$A$14:$A$213,0)),"ID unbekannt"))</f>
        <v/>
      </c>
      <c r="C1583" s="63" t="n"/>
      <c r="D1583" s="61" t="n"/>
      <c r="E1583" s="60" t="n"/>
      <c r="F1583" s="61" t="n"/>
    </row>
    <row r="1584">
      <c r="A1584" s="60" t="n"/>
      <c r="B1584" s="65">
        <f>IF(A1584="","",IFERROR(INDEX(Bestand!$B$14:$B$213,MATCH(A1584,Bestand!$A$14:$A$213,0)),"ID unbekannt"))</f>
        <v/>
      </c>
      <c r="C1584" s="63" t="n"/>
      <c r="D1584" s="61" t="n"/>
      <c r="E1584" s="60" t="n"/>
      <c r="F1584" s="61" t="n"/>
    </row>
    <row r="1585">
      <c r="A1585" s="60" t="n"/>
      <c r="B1585" s="65">
        <f>IF(A1585="","",IFERROR(INDEX(Bestand!$B$14:$B$213,MATCH(A1585,Bestand!$A$14:$A$213,0)),"ID unbekannt"))</f>
        <v/>
      </c>
      <c r="C1585" s="63" t="n"/>
      <c r="D1585" s="61" t="n"/>
      <c r="E1585" s="60" t="n"/>
      <c r="F1585" s="61" t="n"/>
    </row>
    <row r="1586">
      <c r="A1586" s="60" t="n"/>
      <c r="B1586" s="65">
        <f>IF(A1586="","",IFERROR(INDEX(Bestand!$B$14:$B$213,MATCH(A1586,Bestand!$A$14:$A$213,0)),"ID unbekannt"))</f>
        <v/>
      </c>
      <c r="C1586" s="63" t="n"/>
      <c r="D1586" s="61" t="n"/>
      <c r="E1586" s="60" t="n"/>
      <c r="F1586" s="61" t="n"/>
    </row>
    <row r="1587">
      <c r="A1587" s="60" t="n"/>
      <c r="B1587" s="65">
        <f>IF(A1587="","",IFERROR(INDEX(Bestand!$B$14:$B$213,MATCH(A1587,Bestand!$A$14:$A$213,0)),"ID unbekannt"))</f>
        <v/>
      </c>
      <c r="C1587" s="63" t="n"/>
      <c r="D1587" s="61" t="n"/>
      <c r="E1587" s="60" t="n"/>
      <c r="F1587" s="61" t="n"/>
    </row>
    <row r="1588">
      <c r="A1588" s="60" t="n"/>
      <c r="B1588" s="65">
        <f>IF(A1588="","",IFERROR(INDEX(Bestand!$B$14:$B$213,MATCH(A1588,Bestand!$A$14:$A$213,0)),"ID unbekannt"))</f>
        <v/>
      </c>
      <c r="C1588" s="63" t="n"/>
      <c r="D1588" s="61" t="n"/>
      <c r="E1588" s="60" t="n"/>
      <c r="F1588" s="61" t="n"/>
    </row>
    <row r="1589">
      <c r="A1589" s="60" t="n"/>
      <c r="B1589" s="65">
        <f>IF(A1589="","",IFERROR(INDEX(Bestand!$B$14:$B$213,MATCH(A1589,Bestand!$A$14:$A$213,0)),"ID unbekannt"))</f>
        <v/>
      </c>
      <c r="C1589" s="63" t="n"/>
      <c r="D1589" s="61" t="n"/>
      <c r="E1589" s="60" t="n"/>
      <c r="F1589" s="61" t="n"/>
    </row>
    <row r="1590">
      <c r="A1590" s="60" t="n"/>
      <c r="B1590" s="65">
        <f>IF(A1590="","",IFERROR(INDEX(Bestand!$B$14:$B$213,MATCH(A1590,Bestand!$A$14:$A$213,0)),"ID unbekannt"))</f>
        <v/>
      </c>
      <c r="C1590" s="63" t="n"/>
      <c r="D1590" s="61" t="n"/>
      <c r="E1590" s="60" t="n"/>
      <c r="F1590" s="61" t="n"/>
    </row>
    <row r="1591">
      <c r="A1591" s="60" t="n"/>
      <c r="B1591" s="65">
        <f>IF(A1591="","",IFERROR(INDEX(Bestand!$B$14:$B$213,MATCH(A1591,Bestand!$A$14:$A$213,0)),"ID unbekannt"))</f>
        <v/>
      </c>
      <c r="C1591" s="63" t="n"/>
      <c r="D1591" s="61" t="n"/>
      <c r="E1591" s="60" t="n"/>
      <c r="F1591" s="61" t="n"/>
    </row>
    <row r="1592">
      <c r="A1592" s="60" t="n"/>
      <c r="B1592" s="65">
        <f>IF(A1592="","",IFERROR(INDEX(Bestand!$B$14:$B$213,MATCH(A1592,Bestand!$A$14:$A$213,0)),"ID unbekannt"))</f>
        <v/>
      </c>
      <c r="C1592" s="63" t="n"/>
      <c r="D1592" s="61" t="n"/>
      <c r="E1592" s="60" t="n"/>
      <c r="F1592" s="61" t="n"/>
    </row>
    <row r="1593">
      <c r="A1593" s="60" t="n"/>
      <c r="B1593" s="65">
        <f>IF(A1593="","",IFERROR(INDEX(Bestand!$B$14:$B$213,MATCH(A1593,Bestand!$A$14:$A$213,0)),"ID unbekannt"))</f>
        <v/>
      </c>
      <c r="C1593" s="63" t="n"/>
      <c r="D1593" s="61" t="n"/>
      <c r="E1593" s="60" t="n"/>
      <c r="F1593" s="61" t="n"/>
    </row>
    <row r="1594">
      <c r="A1594" s="60" t="n"/>
      <c r="B1594" s="65">
        <f>IF(A1594="","",IFERROR(INDEX(Bestand!$B$14:$B$213,MATCH(A1594,Bestand!$A$14:$A$213,0)),"ID unbekannt"))</f>
        <v/>
      </c>
      <c r="C1594" s="63" t="n"/>
      <c r="D1594" s="61" t="n"/>
      <c r="E1594" s="60" t="n"/>
      <c r="F1594" s="61" t="n"/>
    </row>
    <row r="1595">
      <c r="A1595" s="60" t="n"/>
      <c r="B1595" s="65">
        <f>IF(A1595="","",IFERROR(INDEX(Bestand!$B$14:$B$213,MATCH(A1595,Bestand!$A$14:$A$213,0)),"ID unbekannt"))</f>
        <v/>
      </c>
      <c r="C1595" s="63" t="n"/>
      <c r="D1595" s="61" t="n"/>
      <c r="E1595" s="60" t="n"/>
      <c r="F1595" s="61" t="n"/>
    </row>
    <row r="1596">
      <c r="A1596" s="60" t="n"/>
      <c r="B1596" s="65">
        <f>IF(A1596="","",IFERROR(INDEX(Bestand!$B$14:$B$213,MATCH(A1596,Bestand!$A$14:$A$213,0)),"ID unbekannt"))</f>
        <v/>
      </c>
      <c r="C1596" s="63" t="n"/>
      <c r="D1596" s="61" t="n"/>
      <c r="E1596" s="60" t="n"/>
      <c r="F1596" s="61" t="n"/>
    </row>
    <row r="1597">
      <c r="A1597" s="60" t="n"/>
      <c r="B1597" s="65">
        <f>IF(A1597="","",IFERROR(INDEX(Bestand!$B$14:$B$213,MATCH(A1597,Bestand!$A$14:$A$213,0)),"ID unbekannt"))</f>
        <v/>
      </c>
      <c r="C1597" s="63" t="n"/>
      <c r="D1597" s="61" t="n"/>
      <c r="E1597" s="60" t="n"/>
      <c r="F1597" s="61" t="n"/>
    </row>
    <row r="1598">
      <c r="A1598" s="60" t="n"/>
      <c r="B1598" s="65">
        <f>IF(A1598="","",IFERROR(INDEX(Bestand!$B$14:$B$213,MATCH(A1598,Bestand!$A$14:$A$213,0)),"ID unbekannt"))</f>
        <v/>
      </c>
      <c r="C1598" s="63" t="n"/>
      <c r="D1598" s="61" t="n"/>
      <c r="E1598" s="60" t="n"/>
      <c r="F1598" s="61" t="n"/>
    </row>
    <row r="1599">
      <c r="A1599" s="60" t="n"/>
      <c r="B1599" s="65">
        <f>IF(A1599="","",IFERROR(INDEX(Bestand!$B$14:$B$213,MATCH(A1599,Bestand!$A$14:$A$213,0)),"ID unbekannt"))</f>
        <v/>
      </c>
      <c r="C1599" s="63" t="n"/>
      <c r="D1599" s="61" t="n"/>
      <c r="E1599" s="60" t="n"/>
      <c r="F1599" s="61" t="n"/>
    </row>
    <row r="1600">
      <c r="A1600" s="60" t="n"/>
      <c r="B1600" s="65">
        <f>IF(A1600="","",IFERROR(INDEX(Bestand!$B$14:$B$213,MATCH(A1600,Bestand!$A$14:$A$213,0)),"ID unbekannt"))</f>
        <v/>
      </c>
      <c r="C1600" s="63" t="n"/>
      <c r="D1600" s="61" t="n"/>
      <c r="E1600" s="60" t="n"/>
      <c r="F1600" s="61" t="n"/>
    </row>
    <row r="1601">
      <c r="A1601" s="60" t="n"/>
      <c r="B1601" s="65">
        <f>IF(A1601="","",IFERROR(INDEX(Bestand!$B$14:$B$213,MATCH(A1601,Bestand!$A$14:$A$213,0)),"ID unbekannt"))</f>
        <v/>
      </c>
      <c r="C1601" s="63" t="n"/>
      <c r="D1601" s="61" t="n"/>
      <c r="E1601" s="60" t="n"/>
      <c r="F1601" s="61" t="n"/>
    </row>
    <row r="1602">
      <c r="A1602" s="60" t="n"/>
      <c r="B1602" s="65">
        <f>IF(A1602="","",IFERROR(INDEX(Bestand!$B$14:$B$213,MATCH(A1602,Bestand!$A$14:$A$213,0)),"ID unbekannt"))</f>
        <v/>
      </c>
      <c r="C1602" s="63" t="n"/>
      <c r="D1602" s="61" t="n"/>
      <c r="E1602" s="60" t="n"/>
      <c r="F1602" s="61" t="n"/>
    </row>
    <row r="1603">
      <c r="A1603" s="60" t="n"/>
      <c r="B1603" s="65">
        <f>IF(A1603="","",IFERROR(INDEX(Bestand!$B$14:$B$213,MATCH(A1603,Bestand!$A$14:$A$213,0)),"ID unbekannt"))</f>
        <v/>
      </c>
      <c r="C1603" s="63" t="n"/>
      <c r="D1603" s="61" t="n"/>
      <c r="E1603" s="60" t="n"/>
      <c r="F1603" s="61" t="n"/>
    </row>
    <row r="1604">
      <c r="A1604" s="60" t="n"/>
      <c r="B1604" s="65">
        <f>IF(A1604="","",IFERROR(INDEX(Bestand!$B$14:$B$213,MATCH(A1604,Bestand!$A$14:$A$213,0)),"ID unbekannt"))</f>
        <v/>
      </c>
      <c r="C1604" s="63" t="n"/>
      <c r="D1604" s="61" t="n"/>
      <c r="E1604" s="60" t="n"/>
      <c r="F1604" s="61" t="n"/>
    </row>
    <row r="1605">
      <c r="A1605" s="60" t="n"/>
      <c r="B1605" s="65">
        <f>IF(A1605="","",IFERROR(INDEX(Bestand!$B$14:$B$213,MATCH(A1605,Bestand!$A$14:$A$213,0)),"ID unbekannt"))</f>
        <v/>
      </c>
      <c r="C1605" s="63" t="n"/>
      <c r="D1605" s="61" t="n"/>
      <c r="E1605" s="60" t="n"/>
      <c r="F1605" s="61" t="n"/>
    </row>
    <row r="1606">
      <c r="A1606" s="60" t="n"/>
      <c r="B1606" s="65">
        <f>IF(A1606="","",IFERROR(INDEX(Bestand!$B$14:$B$213,MATCH(A1606,Bestand!$A$14:$A$213,0)),"ID unbekannt"))</f>
        <v/>
      </c>
      <c r="C1606" s="63" t="n"/>
      <c r="D1606" s="61" t="n"/>
      <c r="E1606" s="60" t="n"/>
      <c r="F1606" s="61" t="n"/>
    </row>
    <row r="1607">
      <c r="A1607" s="60" t="n"/>
      <c r="B1607" s="65">
        <f>IF(A1607="","",IFERROR(INDEX(Bestand!$B$14:$B$213,MATCH(A1607,Bestand!$A$14:$A$213,0)),"ID unbekannt"))</f>
        <v/>
      </c>
      <c r="C1607" s="63" t="n"/>
      <c r="D1607" s="61" t="n"/>
      <c r="E1607" s="60" t="n"/>
      <c r="F1607" s="61" t="n"/>
    </row>
    <row r="1608">
      <c r="A1608" s="60" t="n"/>
      <c r="B1608" s="65">
        <f>IF(A1608="","",IFERROR(INDEX(Bestand!$B$14:$B$213,MATCH(A1608,Bestand!$A$14:$A$213,0)),"ID unbekannt"))</f>
        <v/>
      </c>
      <c r="C1608" s="63" t="n"/>
      <c r="D1608" s="61" t="n"/>
      <c r="E1608" s="60" t="n"/>
      <c r="F1608" s="61" t="n"/>
    </row>
    <row r="1609">
      <c r="A1609" s="60" t="n"/>
      <c r="B1609" s="65">
        <f>IF(A1609="","",IFERROR(INDEX(Bestand!$B$14:$B$213,MATCH(A1609,Bestand!$A$14:$A$213,0)),"ID unbekannt"))</f>
        <v/>
      </c>
      <c r="C1609" s="63" t="n"/>
      <c r="D1609" s="61" t="n"/>
      <c r="E1609" s="60" t="n"/>
      <c r="F1609" s="61" t="n"/>
    </row>
    <row r="1610">
      <c r="A1610" s="60" t="n"/>
      <c r="B1610" s="65">
        <f>IF(A1610="","",IFERROR(INDEX(Bestand!$B$14:$B$213,MATCH(A1610,Bestand!$A$14:$A$213,0)),"ID unbekannt"))</f>
        <v/>
      </c>
      <c r="C1610" s="63" t="n"/>
      <c r="D1610" s="61" t="n"/>
      <c r="E1610" s="60" t="n"/>
      <c r="F1610" s="61" t="n"/>
    </row>
    <row r="1611">
      <c r="A1611" s="60" t="n"/>
      <c r="B1611" s="65">
        <f>IF(A1611="","",IFERROR(INDEX(Bestand!$B$14:$B$213,MATCH(A1611,Bestand!$A$14:$A$213,0)),"ID unbekannt"))</f>
        <v/>
      </c>
      <c r="C1611" s="63" t="n"/>
      <c r="D1611" s="61" t="n"/>
      <c r="E1611" s="60" t="n"/>
      <c r="F1611" s="61" t="n"/>
    </row>
    <row r="1612">
      <c r="A1612" s="60" t="n"/>
      <c r="B1612" s="65">
        <f>IF(A1612="","",IFERROR(INDEX(Bestand!$B$14:$B$213,MATCH(A1612,Bestand!$A$14:$A$213,0)),"ID unbekannt"))</f>
        <v/>
      </c>
      <c r="C1612" s="63" t="n"/>
      <c r="D1612" s="61" t="n"/>
      <c r="E1612" s="60" t="n"/>
      <c r="F1612" s="61" t="n"/>
    </row>
    <row r="1613">
      <c r="A1613" s="60" t="n"/>
      <c r="B1613" s="65">
        <f>IF(A1613="","",IFERROR(INDEX(Bestand!$B$14:$B$213,MATCH(A1613,Bestand!$A$14:$A$213,0)),"ID unbekannt"))</f>
        <v/>
      </c>
      <c r="C1613" s="63" t="n"/>
      <c r="D1613" s="61" t="n"/>
      <c r="E1613" s="60" t="n"/>
      <c r="F1613" s="61" t="n"/>
    </row>
    <row r="1614">
      <c r="A1614" s="60" t="n"/>
      <c r="B1614" s="65">
        <f>IF(A1614="","",IFERROR(INDEX(Bestand!$B$14:$B$213,MATCH(A1614,Bestand!$A$14:$A$213,0)),"ID unbekannt"))</f>
        <v/>
      </c>
      <c r="C1614" s="63" t="n"/>
      <c r="D1614" s="61" t="n"/>
      <c r="E1614" s="60" t="n"/>
      <c r="F1614" s="61" t="n"/>
    </row>
    <row r="1615">
      <c r="A1615" s="60" t="n"/>
      <c r="B1615" s="65">
        <f>IF(A1615="","",IFERROR(INDEX(Bestand!$B$14:$B$213,MATCH(A1615,Bestand!$A$14:$A$213,0)),"ID unbekannt"))</f>
        <v/>
      </c>
      <c r="C1615" s="63" t="n"/>
      <c r="D1615" s="61" t="n"/>
      <c r="E1615" s="60" t="n"/>
      <c r="F1615" s="61" t="n"/>
    </row>
    <row r="1616">
      <c r="A1616" s="60" t="n"/>
      <c r="B1616" s="65">
        <f>IF(A1616="","",IFERROR(INDEX(Bestand!$B$14:$B$213,MATCH(A1616,Bestand!$A$14:$A$213,0)),"ID unbekannt"))</f>
        <v/>
      </c>
      <c r="C1616" s="63" t="n"/>
      <c r="D1616" s="61" t="n"/>
      <c r="E1616" s="60" t="n"/>
      <c r="F1616" s="61" t="n"/>
    </row>
    <row r="1617">
      <c r="A1617" s="60" t="n"/>
      <c r="B1617" s="65">
        <f>IF(A1617="","",IFERROR(INDEX(Bestand!$B$14:$B$213,MATCH(A1617,Bestand!$A$14:$A$213,0)),"ID unbekannt"))</f>
        <v/>
      </c>
      <c r="C1617" s="63" t="n"/>
      <c r="D1617" s="61" t="n"/>
      <c r="E1617" s="60" t="n"/>
      <c r="F1617" s="61" t="n"/>
    </row>
    <row r="1618">
      <c r="A1618" s="60" t="n"/>
      <c r="B1618" s="65">
        <f>IF(A1618="","",IFERROR(INDEX(Bestand!$B$14:$B$213,MATCH(A1618,Bestand!$A$14:$A$213,0)),"ID unbekannt"))</f>
        <v/>
      </c>
      <c r="C1618" s="63" t="n"/>
      <c r="D1618" s="61" t="n"/>
      <c r="E1618" s="60" t="n"/>
      <c r="F1618" s="61" t="n"/>
    </row>
    <row r="1619">
      <c r="A1619" s="60" t="n"/>
      <c r="B1619" s="65">
        <f>IF(A1619="","",IFERROR(INDEX(Bestand!$B$14:$B$213,MATCH(A1619,Bestand!$A$14:$A$213,0)),"ID unbekannt"))</f>
        <v/>
      </c>
      <c r="C1619" s="63" t="n"/>
      <c r="D1619" s="61" t="n"/>
      <c r="E1619" s="60" t="n"/>
      <c r="F1619" s="61" t="n"/>
    </row>
    <row r="1620">
      <c r="A1620" s="60" t="n"/>
      <c r="B1620" s="65">
        <f>IF(A1620="","",IFERROR(INDEX(Bestand!$B$14:$B$213,MATCH(A1620,Bestand!$A$14:$A$213,0)),"ID unbekannt"))</f>
        <v/>
      </c>
      <c r="C1620" s="63" t="n"/>
      <c r="D1620" s="61" t="n"/>
      <c r="E1620" s="60" t="n"/>
      <c r="F1620" s="61" t="n"/>
    </row>
    <row r="1621">
      <c r="A1621" s="60" t="n"/>
      <c r="B1621" s="65">
        <f>IF(A1621="","",IFERROR(INDEX(Bestand!$B$14:$B$213,MATCH(A1621,Bestand!$A$14:$A$213,0)),"ID unbekannt"))</f>
        <v/>
      </c>
      <c r="C1621" s="63" t="n"/>
      <c r="D1621" s="61" t="n"/>
      <c r="E1621" s="60" t="n"/>
      <c r="F1621" s="61" t="n"/>
    </row>
    <row r="1622">
      <c r="A1622" s="60" t="n"/>
      <c r="B1622" s="65">
        <f>IF(A1622="","",IFERROR(INDEX(Bestand!$B$14:$B$213,MATCH(A1622,Bestand!$A$14:$A$213,0)),"ID unbekannt"))</f>
        <v/>
      </c>
      <c r="C1622" s="63" t="n"/>
      <c r="D1622" s="61" t="n"/>
      <c r="E1622" s="60" t="n"/>
      <c r="F1622" s="61" t="n"/>
    </row>
    <row r="1623">
      <c r="A1623" s="60" t="n"/>
      <c r="B1623" s="65">
        <f>IF(A1623="","",IFERROR(INDEX(Bestand!$B$14:$B$213,MATCH(A1623,Bestand!$A$14:$A$213,0)),"ID unbekannt"))</f>
        <v/>
      </c>
      <c r="C1623" s="63" t="n"/>
      <c r="D1623" s="61" t="n"/>
      <c r="E1623" s="60" t="n"/>
      <c r="F1623" s="61" t="n"/>
    </row>
    <row r="1624">
      <c r="A1624" s="60" t="n"/>
      <c r="B1624" s="65">
        <f>IF(A1624="","",IFERROR(INDEX(Bestand!$B$14:$B$213,MATCH(A1624,Bestand!$A$14:$A$213,0)),"ID unbekannt"))</f>
        <v/>
      </c>
      <c r="C1624" s="63" t="n"/>
      <c r="D1624" s="61" t="n"/>
      <c r="E1624" s="60" t="n"/>
      <c r="F1624" s="61" t="n"/>
    </row>
    <row r="1625">
      <c r="A1625" s="60" t="n"/>
      <c r="B1625" s="65">
        <f>IF(A1625="","",IFERROR(INDEX(Bestand!$B$14:$B$213,MATCH(A1625,Bestand!$A$14:$A$213,0)),"ID unbekannt"))</f>
        <v/>
      </c>
      <c r="C1625" s="63" t="n"/>
      <c r="D1625" s="61" t="n"/>
      <c r="E1625" s="60" t="n"/>
      <c r="F1625" s="61" t="n"/>
    </row>
    <row r="1626">
      <c r="A1626" s="60" t="n"/>
      <c r="B1626" s="65">
        <f>IF(A1626="","",IFERROR(INDEX(Bestand!$B$14:$B$213,MATCH(A1626,Bestand!$A$14:$A$213,0)),"ID unbekannt"))</f>
        <v/>
      </c>
      <c r="C1626" s="63" t="n"/>
      <c r="D1626" s="61" t="n"/>
      <c r="E1626" s="60" t="n"/>
      <c r="F1626" s="61" t="n"/>
    </row>
    <row r="1627">
      <c r="A1627" s="60" t="n"/>
      <c r="B1627" s="65">
        <f>IF(A1627="","",IFERROR(INDEX(Bestand!$B$14:$B$213,MATCH(A1627,Bestand!$A$14:$A$213,0)),"ID unbekannt"))</f>
        <v/>
      </c>
      <c r="C1627" s="63" t="n"/>
      <c r="D1627" s="61" t="n"/>
      <c r="E1627" s="60" t="n"/>
      <c r="F1627" s="61" t="n"/>
    </row>
    <row r="1628">
      <c r="A1628" s="60" t="n"/>
      <c r="B1628" s="65">
        <f>IF(A1628="","",IFERROR(INDEX(Bestand!$B$14:$B$213,MATCH(A1628,Bestand!$A$14:$A$213,0)),"ID unbekannt"))</f>
        <v/>
      </c>
      <c r="C1628" s="63" t="n"/>
      <c r="D1628" s="61" t="n"/>
      <c r="E1628" s="60" t="n"/>
      <c r="F1628" s="61" t="n"/>
    </row>
    <row r="1629">
      <c r="A1629" s="60" t="n"/>
      <c r="B1629" s="65">
        <f>IF(A1629="","",IFERROR(INDEX(Bestand!$B$14:$B$213,MATCH(A1629,Bestand!$A$14:$A$213,0)),"ID unbekannt"))</f>
        <v/>
      </c>
      <c r="C1629" s="63" t="n"/>
      <c r="D1629" s="61" t="n"/>
      <c r="E1629" s="60" t="n"/>
      <c r="F1629" s="61" t="n"/>
    </row>
    <row r="1630">
      <c r="A1630" s="60" t="n"/>
      <c r="B1630" s="65">
        <f>IF(A1630="","",IFERROR(INDEX(Bestand!$B$14:$B$213,MATCH(A1630,Bestand!$A$14:$A$213,0)),"ID unbekannt"))</f>
        <v/>
      </c>
      <c r="C1630" s="63" t="n"/>
      <c r="D1630" s="61" t="n"/>
      <c r="E1630" s="60" t="n"/>
      <c r="F1630" s="61" t="n"/>
    </row>
    <row r="1631">
      <c r="A1631" s="60" t="n"/>
      <c r="B1631" s="65">
        <f>IF(A1631="","",IFERROR(INDEX(Bestand!$B$14:$B$213,MATCH(A1631,Bestand!$A$14:$A$213,0)),"ID unbekannt"))</f>
        <v/>
      </c>
      <c r="C1631" s="63" t="n"/>
      <c r="D1631" s="61" t="n"/>
      <c r="E1631" s="60" t="n"/>
      <c r="F1631" s="61" t="n"/>
    </row>
    <row r="1632">
      <c r="A1632" s="60" t="n"/>
      <c r="B1632" s="65">
        <f>IF(A1632="","",IFERROR(INDEX(Bestand!$B$14:$B$213,MATCH(A1632,Bestand!$A$14:$A$213,0)),"ID unbekannt"))</f>
        <v/>
      </c>
      <c r="C1632" s="63" t="n"/>
      <c r="D1632" s="61" t="n"/>
      <c r="E1632" s="60" t="n"/>
      <c r="F1632" s="61" t="n"/>
    </row>
    <row r="1633">
      <c r="A1633" s="60" t="n"/>
      <c r="B1633" s="65">
        <f>IF(A1633="","",IFERROR(INDEX(Bestand!$B$14:$B$213,MATCH(A1633,Bestand!$A$14:$A$213,0)),"ID unbekannt"))</f>
        <v/>
      </c>
      <c r="C1633" s="63" t="n"/>
      <c r="D1633" s="61" t="n"/>
      <c r="E1633" s="60" t="n"/>
      <c r="F1633" s="61" t="n"/>
    </row>
    <row r="1634">
      <c r="A1634" s="60" t="n"/>
      <c r="B1634" s="65">
        <f>IF(A1634="","",IFERROR(INDEX(Bestand!$B$14:$B$213,MATCH(A1634,Bestand!$A$14:$A$213,0)),"ID unbekannt"))</f>
        <v/>
      </c>
      <c r="C1634" s="63" t="n"/>
      <c r="D1634" s="61" t="n"/>
      <c r="E1634" s="60" t="n"/>
      <c r="F1634" s="61" t="n"/>
    </row>
    <row r="1635">
      <c r="A1635" s="60" t="n"/>
      <c r="B1635" s="65">
        <f>IF(A1635="","",IFERROR(INDEX(Bestand!$B$14:$B$213,MATCH(A1635,Bestand!$A$14:$A$213,0)),"ID unbekannt"))</f>
        <v/>
      </c>
      <c r="C1635" s="63" t="n"/>
      <c r="D1635" s="61" t="n"/>
      <c r="E1635" s="60" t="n"/>
      <c r="F1635" s="61" t="n"/>
    </row>
    <row r="1636">
      <c r="A1636" s="60" t="n"/>
      <c r="B1636" s="65">
        <f>IF(A1636="","",IFERROR(INDEX(Bestand!$B$14:$B$213,MATCH(A1636,Bestand!$A$14:$A$213,0)),"ID unbekannt"))</f>
        <v/>
      </c>
      <c r="C1636" s="63" t="n"/>
      <c r="D1636" s="61" t="n"/>
      <c r="E1636" s="60" t="n"/>
      <c r="F1636" s="61" t="n"/>
    </row>
    <row r="1637">
      <c r="A1637" s="60" t="n"/>
      <c r="B1637" s="65">
        <f>IF(A1637="","",IFERROR(INDEX(Bestand!$B$14:$B$213,MATCH(A1637,Bestand!$A$14:$A$213,0)),"ID unbekannt"))</f>
        <v/>
      </c>
      <c r="C1637" s="63" t="n"/>
      <c r="D1637" s="61" t="n"/>
      <c r="E1637" s="60" t="n"/>
      <c r="F1637" s="61" t="n"/>
    </row>
    <row r="1638">
      <c r="A1638" s="60" t="n"/>
      <c r="B1638" s="65">
        <f>IF(A1638="","",IFERROR(INDEX(Bestand!$B$14:$B$213,MATCH(A1638,Bestand!$A$14:$A$213,0)),"ID unbekannt"))</f>
        <v/>
      </c>
      <c r="C1638" s="63" t="n"/>
      <c r="D1638" s="61" t="n"/>
      <c r="E1638" s="60" t="n"/>
      <c r="F1638" s="61" t="n"/>
    </row>
    <row r="1639">
      <c r="A1639" s="60" t="n"/>
      <c r="B1639" s="65">
        <f>IF(A1639="","",IFERROR(INDEX(Bestand!$B$14:$B$213,MATCH(A1639,Bestand!$A$14:$A$213,0)),"ID unbekannt"))</f>
        <v/>
      </c>
      <c r="C1639" s="63" t="n"/>
      <c r="D1639" s="61" t="n"/>
      <c r="E1639" s="60" t="n"/>
      <c r="F1639" s="61" t="n"/>
    </row>
    <row r="1640">
      <c r="A1640" s="60" t="n"/>
      <c r="B1640" s="65">
        <f>IF(A1640="","",IFERROR(INDEX(Bestand!$B$14:$B$213,MATCH(A1640,Bestand!$A$14:$A$213,0)),"ID unbekannt"))</f>
        <v/>
      </c>
      <c r="C1640" s="63" t="n"/>
      <c r="D1640" s="61" t="n"/>
      <c r="E1640" s="60" t="n"/>
      <c r="F1640" s="61" t="n"/>
    </row>
    <row r="1641">
      <c r="A1641" s="60" t="n"/>
      <c r="B1641" s="65">
        <f>IF(A1641="","",IFERROR(INDEX(Bestand!$B$14:$B$213,MATCH(A1641,Bestand!$A$14:$A$213,0)),"ID unbekannt"))</f>
        <v/>
      </c>
      <c r="C1641" s="63" t="n"/>
      <c r="D1641" s="61" t="n"/>
      <c r="E1641" s="60" t="n"/>
      <c r="F1641" s="61" t="n"/>
    </row>
    <row r="1642">
      <c r="A1642" s="60" t="n"/>
      <c r="B1642" s="65">
        <f>IF(A1642="","",IFERROR(INDEX(Bestand!$B$14:$B$213,MATCH(A1642,Bestand!$A$14:$A$213,0)),"ID unbekannt"))</f>
        <v/>
      </c>
      <c r="C1642" s="63" t="n"/>
      <c r="D1642" s="61" t="n"/>
      <c r="E1642" s="60" t="n"/>
      <c r="F1642" s="61" t="n"/>
    </row>
    <row r="1643">
      <c r="A1643" s="60" t="n"/>
      <c r="B1643" s="65">
        <f>IF(A1643="","",IFERROR(INDEX(Bestand!$B$14:$B$213,MATCH(A1643,Bestand!$A$14:$A$213,0)),"ID unbekannt"))</f>
        <v/>
      </c>
      <c r="C1643" s="63" t="n"/>
      <c r="D1643" s="61" t="n"/>
      <c r="E1643" s="60" t="n"/>
      <c r="F1643" s="61" t="n"/>
    </row>
    <row r="1644">
      <c r="A1644" s="60" t="n"/>
      <c r="B1644" s="65">
        <f>IF(A1644="","",IFERROR(INDEX(Bestand!$B$14:$B$213,MATCH(A1644,Bestand!$A$14:$A$213,0)),"ID unbekannt"))</f>
        <v/>
      </c>
      <c r="C1644" s="63" t="n"/>
      <c r="D1644" s="61" t="n"/>
      <c r="E1644" s="60" t="n"/>
      <c r="F1644" s="61" t="n"/>
    </row>
    <row r="1645">
      <c r="A1645" s="60" t="n"/>
      <c r="B1645" s="65">
        <f>IF(A1645="","",IFERROR(INDEX(Bestand!$B$14:$B$213,MATCH(A1645,Bestand!$A$14:$A$213,0)),"ID unbekannt"))</f>
        <v/>
      </c>
      <c r="C1645" s="63" t="n"/>
      <c r="D1645" s="61" t="n"/>
      <c r="E1645" s="60" t="n"/>
      <c r="F1645" s="61" t="n"/>
    </row>
    <row r="1646">
      <c r="A1646" s="60" t="n"/>
      <c r="B1646" s="65">
        <f>IF(A1646="","",IFERROR(INDEX(Bestand!$B$14:$B$213,MATCH(A1646,Bestand!$A$14:$A$213,0)),"ID unbekannt"))</f>
        <v/>
      </c>
      <c r="C1646" s="63" t="n"/>
      <c r="D1646" s="61" t="n"/>
      <c r="E1646" s="60" t="n"/>
      <c r="F1646" s="61" t="n"/>
    </row>
    <row r="1647">
      <c r="A1647" s="60" t="n"/>
      <c r="B1647" s="65">
        <f>IF(A1647="","",IFERROR(INDEX(Bestand!$B$14:$B$213,MATCH(A1647,Bestand!$A$14:$A$213,0)),"ID unbekannt"))</f>
        <v/>
      </c>
      <c r="C1647" s="63" t="n"/>
      <c r="D1647" s="61" t="n"/>
      <c r="E1647" s="60" t="n"/>
      <c r="F1647" s="61" t="n"/>
    </row>
    <row r="1648">
      <c r="A1648" s="60" t="n"/>
      <c r="B1648" s="65">
        <f>IF(A1648="","",IFERROR(INDEX(Bestand!$B$14:$B$213,MATCH(A1648,Bestand!$A$14:$A$213,0)),"ID unbekannt"))</f>
        <v/>
      </c>
      <c r="C1648" s="63" t="n"/>
      <c r="D1648" s="61" t="n"/>
      <c r="E1648" s="60" t="n"/>
      <c r="F1648" s="61" t="n"/>
    </row>
    <row r="1649">
      <c r="A1649" s="60" t="n"/>
      <c r="B1649" s="65">
        <f>IF(A1649="","",IFERROR(INDEX(Bestand!$B$14:$B$213,MATCH(A1649,Bestand!$A$14:$A$213,0)),"ID unbekannt"))</f>
        <v/>
      </c>
      <c r="C1649" s="63" t="n"/>
      <c r="D1649" s="61" t="n"/>
      <c r="E1649" s="60" t="n"/>
      <c r="F1649" s="61" t="n"/>
    </row>
    <row r="1650">
      <c r="A1650" s="60" t="n"/>
      <c r="B1650" s="65">
        <f>IF(A1650="","",IFERROR(INDEX(Bestand!$B$14:$B$213,MATCH(A1650,Bestand!$A$14:$A$213,0)),"ID unbekannt"))</f>
        <v/>
      </c>
      <c r="C1650" s="63" t="n"/>
      <c r="D1650" s="61" t="n"/>
      <c r="E1650" s="60" t="n"/>
      <c r="F1650" s="61" t="n"/>
    </row>
    <row r="1651">
      <c r="A1651" s="60" t="n"/>
      <c r="B1651" s="65">
        <f>IF(A1651="","",IFERROR(INDEX(Bestand!$B$14:$B$213,MATCH(A1651,Bestand!$A$14:$A$213,0)),"ID unbekannt"))</f>
        <v/>
      </c>
      <c r="C1651" s="63" t="n"/>
      <c r="D1651" s="61" t="n"/>
      <c r="E1651" s="60" t="n"/>
      <c r="F1651" s="61" t="n"/>
    </row>
    <row r="1652">
      <c r="A1652" s="60" t="n"/>
      <c r="B1652" s="65">
        <f>IF(A1652="","",IFERROR(INDEX(Bestand!$B$14:$B$213,MATCH(A1652,Bestand!$A$14:$A$213,0)),"ID unbekannt"))</f>
        <v/>
      </c>
      <c r="C1652" s="63" t="n"/>
      <c r="D1652" s="61" t="n"/>
      <c r="E1652" s="60" t="n"/>
      <c r="F1652" s="61" t="n"/>
    </row>
    <row r="1653">
      <c r="A1653" s="60" t="n"/>
      <c r="B1653" s="65">
        <f>IF(A1653="","",IFERROR(INDEX(Bestand!$B$14:$B$213,MATCH(A1653,Bestand!$A$14:$A$213,0)),"ID unbekannt"))</f>
        <v/>
      </c>
      <c r="C1653" s="63" t="n"/>
      <c r="D1653" s="61" t="n"/>
      <c r="E1653" s="60" t="n"/>
      <c r="F1653" s="61" t="n"/>
    </row>
    <row r="1654">
      <c r="A1654" s="60" t="n"/>
      <c r="B1654" s="65">
        <f>IF(A1654="","",IFERROR(INDEX(Bestand!$B$14:$B$213,MATCH(A1654,Bestand!$A$14:$A$213,0)),"ID unbekannt"))</f>
        <v/>
      </c>
      <c r="C1654" s="63" t="n"/>
      <c r="D1654" s="61" t="n"/>
      <c r="E1654" s="60" t="n"/>
      <c r="F1654" s="61" t="n"/>
    </row>
    <row r="1655">
      <c r="A1655" s="60" t="n"/>
      <c r="B1655" s="65">
        <f>IF(A1655="","",IFERROR(INDEX(Bestand!$B$14:$B$213,MATCH(A1655,Bestand!$A$14:$A$213,0)),"ID unbekannt"))</f>
        <v/>
      </c>
      <c r="C1655" s="63" t="n"/>
      <c r="D1655" s="61" t="n"/>
      <c r="E1655" s="60" t="n"/>
      <c r="F1655" s="61" t="n"/>
    </row>
    <row r="1656">
      <c r="A1656" s="60" t="n"/>
      <c r="B1656" s="65">
        <f>IF(A1656="","",IFERROR(INDEX(Bestand!$B$14:$B$213,MATCH(A1656,Bestand!$A$14:$A$213,0)),"ID unbekannt"))</f>
        <v/>
      </c>
      <c r="C1656" s="63" t="n"/>
      <c r="D1656" s="61" t="n"/>
      <c r="E1656" s="60" t="n"/>
      <c r="F1656" s="61" t="n"/>
    </row>
    <row r="1657">
      <c r="A1657" s="60" t="n"/>
      <c r="B1657" s="65">
        <f>IF(A1657="","",IFERROR(INDEX(Bestand!$B$14:$B$213,MATCH(A1657,Bestand!$A$14:$A$213,0)),"ID unbekannt"))</f>
        <v/>
      </c>
      <c r="C1657" s="63" t="n"/>
      <c r="D1657" s="61" t="n"/>
      <c r="E1657" s="60" t="n"/>
      <c r="F1657" s="61" t="n"/>
    </row>
    <row r="1658">
      <c r="A1658" s="60" t="n"/>
      <c r="B1658" s="65">
        <f>IF(A1658="","",IFERROR(INDEX(Bestand!$B$14:$B$213,MATCH(A1658,Bestand!$A$14:$A$213,0)),"ID unbekannt"))</f>
        <v/>
      </c>
      <c r="C1658" s="63" t="n"/>
      <c r="D1658" s="61" t="n"/>
      <c r="E1658" s="60" t="n"/>
      <c r="F1658" s="61" t="n"/>
    </row>
    <row r="1659">
      <c r="A1659" s="60" t="n"/>
      <c r="B1659" s="65">
        <f>IF(A1659="","",IFERROR(INDEX(Bestand!$B$14:$B$213,MATCH(A1659,Bestand!$A$14:$A$213,0)),"ID unbekannt"))</f>
        <v/>
      </c>
      <c r="C1659" s="63" t="n"/>
      <c r="D1659" s="61" t="n"/>
      <c r="E1659" s="60" t="n"/>
      <c r="F1659" s="61" t="n"/>
    </row>
    <row r="1660">
      <c r="A1660" s="60" t="n"/>
      <c r="B1660" s="65">
        <f>IF(A1660="","",IFERROR(INDEX(Bestand!$B$14:$B$213,MATCH(A1660,Bestand!$A$14:$A$213,0)),"ID unbekannt"))</f>
        <v/>
      </c>
      <c r="C1660" s="63" t="n"/>
      <c r="D1660" s="61" t="n"/>
      <c r="E1660" s="60" t="n"/>
      <c r="F1660" s="61" t="n"/>
    </row>
    <row r="1661">
      <c r="A1661" s="60" t="n"/>
      <c r="B1661" s="65">
        <f>IF(A1661="","",IFERROR(INDEX(Bestand!$B$14:$B$213,MATCH(A1661,Bestand!$A$14:$A$213,0)),"ID unbekannt"))</f>
        <v/>
      </c>
      <c r="C1661" s="63" t="n"/>
      <c r="D1661" s="61" t="n"/>
      <c r="E1661" s="60" t="n"/>
      <c r="F1661" s="61" t="n"/>
    </row>
    <row r="1662">
      <c r="A1662" s="60" t="n"/>
      <c r="B1662" s="65">
        <f>IF(A1662="","",IFERROR(INDEX(Bestand!$B$14:$B$213,MATCH(A1662,Bestand!$A$14:$A$213,0)),"ID unbekannt"))</f>
        <v/>
      </c>
      <c r="C1662" s="63" t="n"/>
      <c r="D1662" s="61" t="n"/>
      <c r="E1662" s="60" t="n"/>
      <c r="F1662" s="61" t="n"/>
    </row>
    <row r="1663">
      <c r="A1663" s="60" t="n"/>
      <c r="B1663" s="65">
        <f>IF(A1663="","",IFERROR(INDEX(Bestand!$B$14:$B$213,MATCH(A1663,Bestand!$A$14:$A$213,0)),"ID unbekannt"))</f>
        <v/>
      </c>
      <c r="C1663" s="63" t="n"/>
      <c r="D1663" s="61" t="n"/>
      <c r="E1663" s="60" t="n"/>
      <c r="F1663" s="61" t="n"/>
    </row>
    <row r="1664">
      <c r="A1664" s="60" t="n"/>
      <c r="B1664" s="65">
        <f>IF(A1664="","",IFERROR(INDEX(Bestand!$B$14:$B$213,MATCH(A1664,Bestand!$A$14:$A$213,0)),"ID unbekannt"))</f>
        <v/>
      </c>
      <c r="C1664" s="63" t="n"/>
      <c r="D1664" s="61" t="n"/>
      <c r="E1664" s="60" t="n"/>
      <c r="F1664" s="61" t="n"/>
    </row>
    <row r="1665">
      <c r="A1665" s="60" t="n"/>
      <c r="B1665" s="65">
        <f>IF(A1665="","",IFERROR(INDEX(Bestand!$B$14:$B$213,MATCH(A1665,Bestand!$A$14:$A$213,0)),"ID unbekannt"))</f>
        <v/>
      </c>
      <c r="C1665" s="63" t="n"/>
      <c r="D1665" s="61" t="n"/>
      <c r="E1665" s="60" t="n"/>
      <c r="F1665" s="61" t="n"/>
    </row>
    <row r="1666">
      <c r="A1666" s="60" t="n"/>
      <c r="B1666" s="65">
        <f>IF(A1666="","",IFERROR(INDEX(Bestand!$B$14:$B$213,MATCH(A1666,Bestand!$A$14:$A$213,0)),"ID unbekannt"))</f>
        <v/>
      </c>
      <c r="C1666" s="63" t="n"/>
      <c r="D1666" s="61" t="n"/>
      <c r="E1666" s="60" t="n"/>
      <c r="F1666" s="61" t="n"/>
    </row>
    <row r="1667">
      <c r="A1667" s="60" t="n"/>
      <c r="B1667" s="65">
        <f>IF(A1667="","",IFERROR(INDEX(Bestand!$B$14:$B$213,MATCH(A1667,Bestand!$A$14:$A$213,0)),"ID unbekannt"))</f>
        <v/>
      </c>
      <c r="C1667" s="63" t="n"/>
      <c r="D1667" s="61" t="n"/>
      <c r="E1667" s="60" t="n"/>
      <c r="F1667" s="61" t="n"/>
    </row>
    <row r="1668">
      <c r="A1668" s="60" t="n"/>
      <c r="B1668" s="65">
        <f>IF(A1668="","",IFERROR(INDEX(Bestand!$B$14:$B$213,MATCH(A1668,Bestand!$A$14:$A$213,0)),"ID unbekannt"))</f>
        <v/>
      </c>
      <c r="C1668" s="63" t="n"/>
      <c r="D1668" s="61" t="n"/>
      <c r="E1668" s="60" t="n"/>
      <c r="F1668" s="61" t="n"/>
    </row>
    <row r="1669">
      <c r="A1669" s="60" t="n"/>
      <c r="B1669" s="65">
        <f>IF(A1669="","",IFERROR(INDEX(Bestand!$B$14:$B$213,MATCH(A1669,Bestand!$A$14:$A$213,0)),"ID unbekannt"))</f>
        <v/>
      </c>
      <c r="C1669" s="63" t="n"/>
      <c r="D1669" s="61" t="n"/>
      <c r="E1669" s="60" t="n"/>
      <c r="F1669" s="61" t="n"/>
    </row>
    <row r="1670">
      <c r="A1670" s="60" t="n"/>
      <c r="B1670" s="65">
        <f>IF(A1670="","",IFERROR(INDEX(Bestand!$B$14:$B$213,MATCH(A1670,Bestand!$A$14:$A$213,0)),"ID unbekannt"))</f>
        <v/>
      </c>
      <c r="C1670" s="63" t="n"/>
      <c r="D1670" s="61" t="n"/>
      <c r="E1670" s="60" t="n"/>
      <c r="F1670" s="61" t="n"/>
    </row>
    <row r="1671">
      <c r="A1671" s="60" t="n"/>
      <c r="B1671" s="65">
        <f>IF(A1671="","",IFERROR(INDEX(Bestand!$B$14:$B$213,MATCH(A1671,Bestand!$A$14:$A$213,0)),"ID unbekannt"))</f>
        <v/>
      </c>
      <c r="C1671" s="63" t="n"/>
      <c r="D1671" s="61" t="n"/>
      <c r="E1671" s="60" t="n"/>
      <c r="F1671" s="61" t="n"/>
    </row>
    <row r="1672">
      <c r="A1672" s="60" t="n"/>
      <c r="B1672" s="65">
        <f>IF(A1672="","",IFERROR(INDEX(Bestand!$B$14:$B$213,MATCH(A1672,Bestand!$A$14:$A$213,0)),"ID unbekannt"))</f>
        <v/>
      </c>
      <c r="C1672" s="63" t="n"/>
      <c r="D1672" s="61" t="n"/>
      <c r="E1672" s="60" t="n"/>
      <c r="F1672" s="61" t="n"/>
    </row>
    <row r="1673">
      <c r="A1673" s="60" t="n"/>
      <c r="B1673" s="65">
        <f>IF(A1673="","",IFERROR(INDEX(Bestand!$B$14:$B$213,MATCH(A1673,Bestand!$A$14:$A$213,0)),"ID unbekannt"))</f>
        <v/>
      </c>
      <c r="C1673" s="63" t="n"/>
      <c r="D1673" s="61" t="n"/>
      <c r="E1673" s="60" t="n"/>
      <c r="F1673" s="61" t="n"/>
    </row>
    <row r="1674">
      <c r="A1674" s="60" t="n"/>
      <c r="B1674" s="65">
        <f>IF(A1674="","",IFERROR(INDEX(Bestand!$B$14:$B$213,MATCH(A1674,Bestand!$A$14:$A$213,0)),"ID unbekannt"))</f>
        <v/>
      </c>
      <c r="C1674" s="63" t="n"/>
      <c r="D1674" s="61" t="n"/>
      <c r="E1674" s="60" t="n"/>
      <c r="F1674" s="61" t="n"/>
    </row>
    <row r="1675">
      <c r="A1675" s="60" t="n"/>
      <c r="B1675" s="65">
        <f>IF(A1675="","",IFERROR(INDEX(Bestand!$B$14:$B$213,MATCH(A1675,Bestand!$A$14:$A$213,0)),"ID unbekannt"))</f>
        <v/>
      </c>
      <c r="C1675" s="63" t="n"/>
      <c r="D1675" s="61" t="n"/>
      <c r="E1675" s="60" t="n"/>
      <c r="F1675" s="61" t="n"/>
    </row>
    <row r="1676">
      <c r="A1676" s="60" t="n"/>
      <c r="B1676" s="65">
        <f>IF(A1676="","",IFERROR(INDEX(Bestand!$B$14:$B$213,MATCH(A1676,Bestand!$A$14:$A$213,0)),"ID unbekannt"))</f>
        <v/>
      </c>
      <c r="C1676" s="63" t="n"/>
      <c r="D1676" s="61" t="n"/>
      <c r="E1676" s="60" t="n"/>
      <c r="F1676" s="61" t="n"/>
    </row>
    <row r="1677">
      <c r="A1677" s="60" t="n"/>
      <c r="B1677" s="65">
        <f>IF(A1677="","",IFERROR(INDEX(Bestand!$B$14:$B$213,MATCH(A1677,Bestand!$A$14:$A$213,0)),"ID unbekannt"))</f>
        <v/>
      </c>
      <c r="C1677" s="63" t="n"/>
      <c r="D1677" s="61" t="n"/>
      <c r="E1677" s="60" t="n"/>
      <c r="F1677" s="61" t="n"/>
    </row>
    <row r="1678">
      <c r="A1678" s="60" t="n"/>
      <c r="B1678" s="65">
        <f>IF(A1678="","",IFERROR(INDEX(Bestand!$B$14:$B$213,MATCH(A1678,Bestand!$A$14:$A$213,0)),"ID unbekannt"))</f>
        <v/>
      </c>
      <c r="C1678" s="63" t="n"/>
      <c r="D1678" s="61" t="n"/>
      <c r="E1678" s="60" t="n"/>
      <c r="F1678" s="61" t="n"/>
    </row>
    <row r="1679">
      <c r="A1679" s="60" t="n"/>
      <c r="B1679" s="65">
        <f>IF(A1679="","",IFERROR(INDEX(Bestand!$B$14:$B$213,MATCH(A1679,Bestand!$A$14:$A$213,0)),"ID unbekannt"))</f>
        <v/>
      </c>
      <c r="C1679" s="63" t="n"/>
      <c r="D1679" s="61" t="n"/>
      <c r="E1679" s="60" t="n"/>
      <c r="F1679" s="61" t="n"/>
    </row>
    <row r="1680">
      <c r="A1680" s="60" t="n"/>
      <c r="B1680" s="65">
        <f>IF(A1680="","",IFERROR(INDEX(Bestand!$B$14:$B$213,MATCH(A1680,Bestand!$A$14:$A$213,0)),"ID unbekannt"))</f>
        <v/>
      </c>
      <c r="C1680" s="63" t="n"/>
      <c r="D1680" s="61" t="n"/>
      <c r="E1680" s="60" t="n"/>
      <c r="F1680" s="61" t="n"/>
    </row>
    <row r="1681">
      <c r="A1681" s="60" t="n"/>
      <c r="B1681" s="65">
        <f>IF(A1681="","",IFERROR(INDEX(Bestand!$B$14:$B$213,MATCH(A1681,Bestand!$A$14:$A$213,0)),"ID unbekannt"))</f>
        <v/>
      </c>
      <c r="C1681" s="63" t="n"/>
      <c r="D1681" s="61" t="n"/>
      <c r="E1681" s="60" t="n"/>
      <c r="F1681" s="61" t="n"/>
    </row>
    <row r="1682">
      <c r="A1682" s="60" t="n"/>
      <c r="B1682" s="65">
        <f>IF(A1682="","",IFERROR(INDEX(Bestand!$B$14:$B$213,MATCH(A1682,Bestand!$A$14:$A$213,0)),"ID unbekannt"))</f>
        <v/>
      </c>
      <c r="C1682" s="63" t="n"/>
      <c r="D1682" s="61" t="n"/>
      <c r="E1682" s="60" t="n"/>
      <c r="F1682" s="61" t="n"/>
    </row>
    <row r="1683">
      <c r="A1683" s="60" t="n"/>
      <c r="B1683" s="65">
        <f>IF(A1683="","",IFERROR(INDEX(Bestand!$B$14:$B$213,MATCH(A1683,Bestand!$A$14:$A$213,0)),"ID unbekannt"))</f>
        <v/>
      </c>
      <c r="C1683" s="63" t="n"/>
      <c r="D1683" s="61" t="n"/>
      <c r="E1683" s="60" t="n"/>
      <c r="F1683" s="61" t="n"/>
    </row>
    <row r="1684">
      <c r="A1684" s="60" t="n"/>
      <c r="B1684" s="65">
        <f>IF(A1684="","",IFERROR(INDEX(Bestand!$B$14:$B$213,MATCH(A1684,Bestand!$A$14:$A$213,0)),"ID unbekannt"))</f>
        <v/>
      </c>
      <c r="C1684" s="63" t="n"/>
      <c r="D1684" s="61" t="n"/>
      <c r="E1684" s="60" t="n"/>
      <c r="F1684" s="61" t="n"/>
    </row>
    <row r="1685">
      <c r="A1685" s="60" t="n"/>
      <c r="B1685" s="65">
        <f>IF(A1685="","",IFERROR(INDEX(Bestand!$B$14:$B$213,MATCH(A1685,Bestand!$A$14:$A$213,0)),"ID unbekannt"))</f>
        <v/>
      </c>
      <c r="C1685" s="63" t="n"/>
      <c r="D1685" s="61" t="n"/>
      <c r="E1685" s="60" t="n"/>
      <c r="F1685" s="61" t="n"/>
    </row>
    <row r="1686">
      <c r="A1686" s="60" t="n"/>
      <c r="B1686" s="65">
        <f>IF(A1686="","",IFERROR(INDEX(Bestand!$B$14:$B$213,MATCH(A1686,Bestand!$A$14:$A$213,0)),"ID unbekannt"))</f>
        <v/>
      </c>
      <c r="C1686" s="63" t="n"/>
      <c r="D1686" s="61" t="n"/>
      <c r="E1686" s="60" t="n"/>
      <c r="F1686" s="61" t="n"/>
    </row>
    <row r="1687">
      <c r="A1687" s="60" t="n"/>
      <c r="B1687" s="65">
        <f>IF(A1687="","",IFERROR(INDEX(Bestand!$B$14:$B$213,MATCH(A1687,Bestand!$A$14:$A$213,0)),"ID unbekannt"))</f>
        <v/>
      </c>
      <c r="C1687" s="63" t="n"/>
      <c r="D1687" s="61" t="n"/>
      <c r="E1687" s="60" t="n"/>
      <c r="F1687" s="61" t="n"/>
    </row>
    <row r="1688">
      <c r="A1688" s="60" t="n"/>
      <c r="B1688" s="65">
        <f>IF(A1688="","",IFERROR(INDEX(Bestand!$B$14:$B$213,MATCH(A1688,Bestand!$A$14:$A$213,0)),"ID unbekannt"))</f>
        <v/>
      </c>
      <c r="C1688" s="63" t="n"/>
      <c r="D1688" s="61" t="n"/>
      <c r="E1688" s="60" t="n"/>
      <c r="F1688" s="61" t="n"/>
    </row>
    <row r="1689">
      <c r="A1689" s="60" t="n"/>
      <c r="B1689" s="65">
        <f>IF(A1689="","",IFERROR(INDEX(Bestand!$B$14:$B$213,MATCH(A1689,Bestand!$A$14:$A$213,0)),"ID unbekannt"))</f>
        <v/>
      </c>
      <c r="C1689" s="63" t="n"/>
      <c r="D1689" s="61" t="n"/>
      <c r="E1689" s="60" t="n"/>
      <c r="F1689" s="61" t="n"/>
    </row>
    <row r="1690">
      <c r="A1690" s="60" t="n"/>
      <c r="B1690" s="65">
        <f>IF(A1690="","",IFERROR(INDEX(Bestand!$B$14:$B$213,MATCH(A1690,Bestand!$A$14:$A$213,0)),"ID unbekannt"))</f>
        <v/>
      </c>
      <c r="C1690" s="63" t="n"/>
      <c r="D1690" s="61" t="n"/>
      <c r="E1690" s="60" t="n"/>
      <c r="F1690" s="61" t="n"/>
    </row>
    <row r="1691">
      <c r="A1691" s="60" t="n"/>
      <c r="B1691" s="65">
        <f>IF(A1691="","",IFERROR(INDEX(Bestand!$B$14:$B$213,MATCH(A1691,Bestand!$A$14:$A$213,0)),"ID unbekannt"))</f>
        <v/>
      </c>
      <c r="C1691" s="63" t="n"/>
      <c r="D1691" s="61" t="n"/>
      <c r="E1691" s="60" t="n"/>
      <c r="F1691" s="61" t="n"/>
    </row>
    <row r="1692">
      <c r="A1692" s="60" t="n"/>
      <c r="B1692" s="65">
        <f>IF(A1692="","",IFERROR(INDEX(Bestand!$B$14:$B$213,MATCH(A1692,Bestand!$A$14:$A$213,0)),"ID unbekannt"))</f>
        <v/>
      </c>
      <c r="C1692" s="63" t="n"/>
      <c r="D1692" s="61" t="n"/>
      <c r="E1692" s="60" t="n"/>
      <c r="F1692" s="61" t="n"/>
    </row>
    <row r="1693">
      <c r="A1693" s="60" t="n"/>
      <c r="B1693" s="65">
        <f>IF(A1693="","",IFERROR(INDEX(Bestand!$B$14:$B$213,MATCH(A1693,Bestand!$A$14:$A$213,0)),"ID unbekannt"))</f>
        <v/>
      </c>
      <c r="C1693" s="63" t="n"/>
      <c r="D1693" s="61" t="n"/>
      <c r="E1693" s="60" t="n"/>
      <c r="F1693" s="61" t="n"/>
    </row>
    <row r="1694">
      <c r="A1694" s="60" t="n"/>
      <c r="B1694" s="65">
        <f>IF(A1694="","",IFERROR(INDEX(Bestand!$B$14:$B$213,MATCH(A1694,Bestand!$A$14:$A$213,0)),"ID unbekannt"))</f>
        <v/>
      </c>
      <c r="C1694" s="63" t="n"/>
      <c r="D1694" s="61" t="n"/>
      <c r="E1694" s="60" t="n"/>
      <c r="F1694" s="61" t="n"/>
    </row>
    <row r="1695">
      <c r="A1695" s="60" t="n"/>
      <c r="B1695" s="65">
        <f>IF(A1695="","",IFERROR(INDEX(Bestand!$B$14:$B$213,MATCH(A1695,Bestand!$A$14:$A$213,0)),"ID unbekannt"))</f>
        <v/>
      </c>
      <c r="C1695" s="63" t="n"/>
      <c r="D1695" s="61" t="n"/>
      <c r="E1695" s="60" t="n"/>
      <c r="F1695" s="61" t="n"/>
    </row>
    <row r="1696">
      <c r="A1696" s="60" t="n"/>
      <c r="B1696" s="65">
        <f>IF(A1696="","",IFERROR(INDEX(Bestand!$B$14:$B$213,MATCH(A1696,Bestand!$A$14:$A$213,0)),"ID unbekannt"))</f>
        <v/>
      </c>
      <c r="C1696" s="63" t="n"/>
      <c r="D1696" s="61" t="n"/>
      <c r="E1696" s="60" t="n"/>
      <c r="F1696" s="61" t="n"/>
    </row>
    <row r="1697">
      <c r="A1697" s="60" t="n"/>
      <c r="B1697" s="65">
        <f>IF(A1697="","",IFERROR(INDEX(Bestand!$B$14:$B$213,MATCH(A1697,Bestand!$A$14:$A$213,0)),"ID unbekannt"))</f>
        <v/>
      </c>
      <c r="C1697" s="63" t="n"/>
      <c r="D1697" s="61" t="n"/>
      <c r="E1697" s="60" t="n"/>
      <c r="F1697" s="61" t="n"/>
    </row>
    <row r="1698">
      <c r="A1698" s="60" t="n"/>
      <c r="B1698" s="65">
        <f>IF(A1698="","",IFERROR(INDEX(Bestand!$B$14:$B$213,MATCH(A1698,Bestand!$A$14:$A$213,0)),"ID unbekannt"))</f>
        <v/>
      </c>
      <c r="C1698" s="63" t="n"/>
      <c r="D1698" s="61" t="n"/>
      <c r="E1698" s="60" t="n"/>
      <c r="F1698" s="61" t="n"/>
    </row>
    <row r="1699">
      <c r="A1699" s="60" t="n"/>
      <c r="B1699" s="65">
        <f>IF(A1699="","",IFERROR(INDEX(Bestand!$B$14:$B$213,MATCH(A1699,Bestand!$A$14:$A$213,0)),"ID unbekannt"))</f>
        <v/>
      </c>
      <c r="C1699" s="63" t="n"/>
      <c r="D1699" s="61" t="n"/>
      <c r="E1699" s="60" t="n"/>
      <c r="F1699" s="61" t="n"/>
    </row>
    <row r="1700">
      <c r="A1700" s="60" t="n"/>
      <c r="B1700" s="65">
        <f>IF(A1700="","",IFERROR(INDEX(Bestand!$B$14:$B$213,MATCH(A1700,Bestand!$A$14:$A$213,0)),"ID unbekannt"))</f>
        <v/>
      </c>
      <c r="C1700" s="63" t="n"/>
      <c r="D1700" s="61" t="n"/>
      <c r="E1700" s="60" t="n"/>
      <c r="F1700" s="61" t="n"/>
    </row>
    <row r="1701">
      <c r="A1701" s="60" t="n"/>
      <c r="B1701" s="65">
        <f>IF(A1701="","",IFERROR(INDEX(Bestand!$B$14:$B$213,MATCH(A1701,Bestand!$A$14:$A$213,0)),"ID unbekannt"))</f>
        <v/>
      </c>
      <c r="C1701" s="63" t="n"/>
      <c r="D1701" s="61" t="n"/>
      <c r="E1701" s="60" t="n"/>
      <c r="F1701" s="61" t="n"/>
    </row>
    <row r="1702">
      <c r="A1702" s="60" t="n"/>
      <c r="B1702" s="65">
        <f>IF(A1702="","",IFERROR(INDEX(Bestand!$B$14:$B$213,MATCH(A1702,Bestand!$A$14:$A$213,0)),"ID unbekannt"))</f>
        <v/>
      </c>
      <c r="C1702" s="63" t="n"/>
      <c r="D1702" s="61" t="n"/>
      <c r="E1702" s="60" t="n"/>
      <c r="F1702" s="61" t="n"/>
    </row>
    <row r="1703">
      <c r="A1703" s="60" t="n"/>
      <c r="B1703" s="65">
        <f>IF(A1703="","",IFERROR(INDEX(Bestand!$B$14:$B$213,MATCH(A1703,Bestand!$A$14:$A$213,0)),"ID unbekannt"))</f>
        <v/>
      </c>
      <c r="C1703" s="63" t="n"/>
      <c r="D1703" s="61" t="n"/>
      <c r="E1703" s="60" t="n"/>
      <c r="F1703" s="61" t="n"/>
    </row>
    <row r="1704">
      <c r="A1704" s="60" t="n"/>
      <c r="B1704" s="65">
        <f>IF(A1704="","",IFERROR(INDEX(Bestand!$B$14:$B$213,MATCH(A1704,Bestand!$A$14:$A$213,0)),"ID unbekannt"))</f>
        <v/>
      </c>
      <c r="C1704" s="63" t="n"/>
      <c r="D1704" s="61" t="n"/>
      <c r="E1704" s="60" t="n"/>
      <c r="F1704" s="61" t="n"/>
    </row>
    <row r="1705">
      <c r="A1705" s="60" t="n"/>
      <c r="B1705" s="65">
        <f>IF(A1705="","",IFERROR(INDEX(Bestand!$B$14:$B$213,MATCH(A1705,Bestand!$A$14:$A$213,0)),"ID unbekannt"))</f>
        <v/>
      </c>
      <c r="C1705" s="63" t="n"/>
      <c r="D1705" s="61" t="n"/>
      <c r="E1705" s="60" t="n"/>
      <c r="F1705" s="61" t="n"/>
    </row>
    <row r="1706">
      <c r="A1706" s="60" t="n"/>
      <c r="B1706" s="65">
        <f>IF(A1706="","",IFERROR(INDEX(Bestand!$B$14:$B$213,MATCH(A1706,Bestand!$A$14:$A$213,0)),"ID unbekannt"))</f>
        <v/>
      </c>
      <c r="C1706" s="63" t="n"/>
      <c r="D1706" s="61" t="n"/>
      <c r="E1706" s="60" t="n"/>
      <c r="F1706" s="61" t="n"/>
    </row>
    <row r="1707">
      <c r="A1707" s="60" t="n"/>
      <c r="B1707" s="65">
        <f>IF(A1707="","",IFERROR(INDEX(Bestand!$B$14:$B$213,MATCH(A1707,Bestand!$A$14:$A$213,0)),"ID unbekannt"))</f>
        <v/>
      </c>
      <c r="C1707" s="63" t="n"/>
      <c r="D1707" s="61" t="n"/>
      <c r="E1707" s="60" t="n"/>
      <c r="F1707" s="61" t="n"/>
    </row>
    <row r="1708">
      <c r="A1708" s="60" t="n"/>
      <c r="B1708" s="65">
        <f>IF(A1708="","",IFERROR(INDEX(Bestand!$B$14:$B$213,MATCH(A1708,Bestand!$A$14:$A$213,0)),"ID unbekannt"))</f>
        <v/>
      </c>
      <c r="C1708" s="63" t="n"/>
      <c r="D1708" s="61" t="n"/>
      <c r="E1708" s="60" t="n"/>
      <c r="F1708" s="61" t="n"/>
    </row>
    <row r="1709">
      <c r="A1709" s="60" t="n"/>
      <c r="B1709" s="65">
        <f>IF(A1709="","",IFERROR(INDEX(Bestand!$B$14:$B$213,MATCH(A1709,Bestand!$A$14:$A$213,0)),"ID unbekannt"))</f>
        <v/>
      </c>
      <c r="C1709" s="63" t="n"/>
      <c r="D1709" s="61" t="n"/>
      <c r="E1709" s="60" t="n"/>
      <c r="F1709" s="61" t="n"/>
    </row>
    <row r="1710">
      <c r="A1710" s="60" t="n"/>
      <c r="B1710" s="65">
        <f>IF(A1710="","",IFERROR(INDEX(Bestand!$B$14:$B$213,MATCH(A1710,Bestand!$A$14:$A$213,0)),"ID unbekannt"))</f>
        <v/>
      </c>
      <c r="C1710" s="63" t="n"/>
      <c r="D1710" s="61" t="n"/>
      <c r="E1710" s="60" t="n"/>
      <c r="F1710" s="61" t="n"/>
    </row>
    <row r="1711">
      <c r="A1711" s="60" t="n"/>
      <c r="B1711" s="65">
        <f>IF(A1711="","",IFERROR(INDEX(Bestand!$B$14:$B$213,MATCH(A1711,Bestand!$A$14:$A$213,0)),"ID unbekannt"))</f>
        <v/>
      </c>
      <c r="C1711" s="63" t="n"/>
      <c r="D1711" s="61" t="n"/>
      <c r="E1711" s="60" t="n"/>
      <c r="F1711" s="61" t="n"/>
    </row>
    <row r="1712">
      <c r="A1712" s="60" t="n"/>
      <c r="B1712" s="65">
        <f>IF(A1712="","",IFERROR(INDEX(Bestand!$B$14:$B$213,MATCH(A1712,Bestand!$A$14:$A$213,0)),"ID unbekannt"))</f>
        <v/>
      </c>
      <c r="C1712" s="63" t="n"/>
      <c r="D1712" s="61" t="n"/>
      <c r="E1712" s="60" t="n"/>
      <c r="F1712" s="61" t="n"/>
    </row>
    <row r="1713">
      <c r="A1713" s="60" t="n"/>
      <c r="B1713" s="65">
        <f>IF(A1713="","",IFERROR(INDEX(Bestand!$B$14:$B$213,MATCH(A1713,Bestand!$A$14:$A$213,0)),"ID unbekannt"))</f>
        <v/>
      </c>
      <c r="C1713" s="63" t="n"/>
      <c r="D1713" s="61" t="n"/>
      <c r="E1713" s="60" t="n"/>
      <c r="F1713" s="61" t="n"/>
    </row>
    <row r="1714">
      <c r="A1714" s="60" t="n"/>
      <c r="B1714" s="65">
        <f>IF(A1714="","",IFERROR(INDEX(Bestand!$B$14:$B$213,MATCH(A1714,Bestand!$A$14:$A$213,0)),"ID unbekannt"))</f>
        <v/>
      </c>
      <c r="C1714" s="63" t="n"/>
      <c r="D1714" s="61" t="n"/>
      <c r="E1714" s="60" t="n"/>
      <c r="F1714" s="61" t="n"/>
    </row>
    <row r="1715">
      <c r="A1715" s="60" t="n"/>
      <c r="B1715" s="65">
        <f>IF(A1715="","",IFERROR(INDEX(Bestand!$B$14:$B$213,MATCH(A1715,Bestand!$A$14:$A$213,0)),"ID unbekannt"))</f>
        <v/>
      </c>
      <c r="C1715" s="63" t="n"/>
      <c r="D1715" s="61" t="n"/>
      <c r="E1715" s="60" t="n"/>
      <c r="F1715" s="61" t="n"/>
    </row>
    <row r="1716">
      <c r="A1716" s="60" t="n"/>
      <c r="B1716" s="65">
        <f>IF(A1716="","",IFERROR(INDEX(Bestand!$B$14:$B$213,MATCH(A1716,Bestand!$A$14:$A$213,0)),"ID unbekannt"))</f>
        <v/>
      </c>
      <c r="C1716" s="63" t="n"/>
      <c r="D1716" s="61" t="n"/>
      <c r="E1716" s="60" t="n"/>
      <c r="F1716" s="61" t="n"/>
    </row>
    <row r="1717">
      <c r="A1717" s="60" t="n"/>
      <c r="B1717" s="65">
        <f>IF(A1717="","",IFERROR(INDEX(Bestand!$B$14:$B$213,MATCH(A1717,Bestand!$A$14:$A$213,0)),"ID unbekannt"))</f>
        <v/>
      </c>
      <c r="C1717" s="63" t="n"/>
      <c r="D1717" s="61" t="n"/>
      <c r="E1717" s="60" t="n"/>
      <c r="F1717" s="61" t="n"/>
    </row>
    <row r="1718">
      <c r="A1718" s="60" t="n"/>
      <c r="B1718" s="65">
        <f>IF(A1718="","",IFERROR(INDEX(Bestand!$B$14:$B$213,MATCH(A1718,Bestand!$A$14:$A$213,0)),"ID unbekannt"))</f>
        <v/>
      </c>
      <c r="C1718" s="63" t="n"/>
      <c r="D1718" s="61" t="n"/>
      <c r="E1718" s="60" t="n"/>
      <c r="F1718" s="61" t="n"/>
    </row>
    <row r="1719">
      <c r="A1719" s="60" t="n"/>
      <c r="B1719" s="65">
        <f>IF(A1719="","",IFERROR(INDEX(Bestand!$B$14:$B$213,MATCH(A1719,Bestand!$A$14:$A$213,0)),"ID unbekannt"))</f>
        <v/>
      </c>
      <c r="C1719" s="63" t="n"/>
      <c r="D1719" s="61" t="n"/>
      <c r="E1719" s="60" t="n"/>
      <c r="F1719" s="61" t="n"/>
    </row>
    <row r="1720">
      <c r="A1720" s="60" t="n"/>
      <c r="B1720" s="65">
        <f>IF(A1720="","",IFERROR(INDEX(Bestand!$B$14:$B$213,MATCH(A1720,Bestand!$A$14:$A$213,0)),"ID unbekannt"))</f>
        <v/>
      </c>
      <c r="C1720" s="63" t="n"/>
      <c r="D1720" s="61" t="n"/>
      <c r="E1720" s="60" t="n"/>
      <c r="F1720" s="61" t="n"/>
    </row>
    <row r="1721">
      <c r="A1721" s="60" t="n"/>
      <c r="B1721" s="65">
        <f>IF(A1721="","",IFERROR(INDEX(Bestand!$B$14:$B$213,MATCH(A1721,Bestand!$A$14:$A$213,0)),"ID unbekannt"))</f>
        <v/>
      </c>
      <c r="C1721" s="63" t="n"/>
      <c r="D1721" s="61" t="n"/>
      <c r="E1721" s="60" t="n"/>
      <c r="F1721" s="61" t="n"/>
    </row>
    <row r="1722">
      <c r="A1722" s="60" t="n"/>
      <c r="B1722" s="65">
        <f>IF(A1722="","",IFERROR(INDEX(Bestand!$B$14:$B$213,MATCH(A1722,Bestand!$A$14:$A$213,0)),"ID unbekannt"))</f>
        <v/>
      </c>
      <c r="C1722" s="63" t="n"/>
      <c r="D1722" s="61" t="n"/>
      <c r="E1722" s="60" t="n"/>
      <c r="F1722" s="61" t="n"/>
    </row>
    <row r="1723">
      <c r="A1723" s="60" t="n"/>
      <c r="B1723" s="65">
        <f>IF(A1723="","",IFERROR(INDEX(Bestand!$B$14:$B$213,MATCH(A1723,Bestand!$A$14:$A$213,0)),"ID unbekannt"))</f>
        <v/>
      </c>
      <c r="C1723" s="63" t="n"/>
      <c r="D1723" s="61" t="n"/>
      <c r="E1723" s="60" t="n"/>
      <c r="F1723" s="61" t="n"/>
    </row>
    <row r="1724">
      <c r="A1724" s="60" t="n"/>
      <c r="B1724" s="65">
        <f>IF(A1724="","",IFERROR(INDEX(Bestand!$B$14:$B$213,MATCH(A1724,Bestand!$A$14:$A$213,0)),"ID unbekannt"))</f>
        <v/>
      </c>
      <c r="C1724" s="63" t="n"/>
      <c r="D1724" s="61" t="n"/>
      <c r="E1724" s="60" t="n"/>
      <c r="F1724" s="61" t="n"/>
    </row>
    <row r="1725">
      <c r="A1725" s="60" t="n"/>
      <c r="B1725" s="65">
        <f>IF(A1725="","",IFERROR(INDEX(Bestand!$B$14:$B$213,MATCH(A1725,Bestand!$A$14:$A$213,0)),"ID unbekannt"))</f>
        <v/>
      </c>
      <c r="C1725" s="63" t="n"/>
      <c r="D1725" s="61" t="n"/>
      <c r="E1725" s="60" t="n"/>
      <c r="F1725" s="61" t="n"/>
    </row>
    <row r="1726">
      <c r="A1726" s="60" t="n"/>
      <c r="B1726" s="65">
        <f>IF(A1726="","",IFERROR(INDEX(Bestand!$B$14:$B$213,MATCH(A1726,Bestand!$A$14:$A$213,0)),"ID unbekannt"))</f>
        <v/>
      </c>
      <c r="C1726" s="63" t="n"/>
      <c r="D1726" s="61" t="n"/>
      <c r="E1726" s="60" t="n"/>
      <c r="F1726" s="61" t="n"/>
    </row>
    <row r="1727">
      <c r="A1727" s="60" t="n"/>
      <c r="B1727" s="65">
        <f>IF(A1727="","",IFERROR(INDEX(Bestand!$B$14:$B$213,MATCH(A1727,Bestand!$A$14:$A$213,0)),"ID unbekannt"))</f>
        <v/>
      </c>
      <c r="C1727" s="63" t="n"/>
      <c r="D1727" s="61" t="n"/>
      <c r="E1727" s="60" t="n"/>
      <c r="F1727" s="61" t="n"/>
    </row>
    <row r="1728">
      <c r="A1728" s="60" t="n"/>
      <c r="B1728" s="65">
        <f>IF(A1728="","",IFERROR(INDEX(Bestand!$B$14:$B$213,MATCH(A1728,Bestand!$A$14:$A$213,0)),"ID unbekannt"))</f>
        <v/>
      </c>
      <c r="C1728" s="63" t="n"/>
      <c r="D1728" s="61" t="n"/>
      <c r="E1728" s="60" t="n"/>
      <c r="F1728" s="61" t="n"/>
    </row>
    <row r="1729">
      <c r="A1729" s="60" t="n"/>
      <c r="B1729" s="65">
        <f>IF(A1729="","",IFERROR(INDEX(Bestand!$B$14:$B$213,MATCH(A1729,Bestand!$A$14:$A$213,0)),"ID unbekannt"))</f>
        <v/>
      </c>
      <c r="C1729" s="63" t="n"/>
      <c r="D1729" s="61" t="n"/>
      <c r="E1729" s="60" t="n"/>
      <c r="F1729" s="61" t="n"/>
    </row>
    <row r="1730">
      <c r="A1730" s="60" t="n"/>
      <c r="B1730" s="65">
        <f>IF(A1730="","",IFERROR(INDEX(Bestand!$B$14:$B$213,MATCH(A1730,Bestand!$A$14:$A$213,0)),"ID unbekannt"))</f>
        <v/>
      </c>
      <c r="C1730" s="63" t="n"/>
      <c r="D1730" s="61" t="n"/>
      <c r="E1730" s="60" t="n"/>
      <c r="F1730" s="61" t="n"/>
    </row>
    <row r="1731">
      <c r="A1731" s="60" t="n"/>
      <c r="B1731" s="65">
        <f>IF(A1731="","",IFERROR(INDEX(Bestand!$B$14:$B$213,MATCH(A1731,Bestand!$A$14:$A$213,0)),"ID unbekannt"))</f>
        <v/>
      </c>
      <c r="C1731" s="63" t="n"/>
      <c r="D1731" s="61" t="n"/>
      <c r="E1731" s="60" t="n"/>
      <c r="F1731" s="61" t="n"/>
    </row>
    <row r="1732">
      <c r="A1732" s="60" t="n"/>
      <c r="B1732" s="65">
        <f>IF(A1732="","",IFERROR(INDEX(Bestand!$B$14:$B$213,MATCH(A1732,Bestand!$A$14:$A$213,0)),"ID unbekannt"))</f>
        <v/>
      </c>
      <c r="C1732" s="63" t="n"/>
      <c r="D1732" s="61" t="n"/>
      <c r="E1732" s="60" t="n"/>
      <c r="F1732" s="61" t="n"/>
    </row>
    <row r="1733">
      <c r="A1733" s="60" t="n"/>
      <c r="B1733" s="65">
        <f>IF(A1733="","",IFERROR(INDEX(Bestand!$B$14:$B$213,MATCH(A1733,Bestand!$A$14:$A$213,0)),"ID unbekannt"))</f>
        <v/>
      </c>
      <c r="C1733" s="63" t="n"/>
      <c r="D1733" s="61" t="n"/>
      <c r="E1733" s="60" t="n"/>
      <c r="F1733" s="61" t="n"/>
    </row>
    <row r="1734">
      <c r="A1734" s="60" t="n"/>
      <c r="B1734" s="65">
        <f>IF(A1734="","",IFERROR(INDEX(Bestand!$B$14:$B$213,MATCH(A1734,Bestand!$A$14:$A$213,0)),"ID unbekannt"))</f>
        <v/>
      </c>
      <c r="C1734" s="63" t="n"/>
      <c r="D1734" s="61" t="n"/>
      <c r="E1734" s="60" t="n"/>
      <c r="F1734" s="61" t="n"/>
    </row>
    <row r="1735">
      <c r="A1735" s="60" t="n"/>
      <c r="B1735" s="65">
        <f>IF(A1735="","",IFERROR(INDEX(Bestand!$B$14:$B$213,MATCH(A1735,Bestand!$A$14:$A$213,0)),"ID unbekannt"))</f>
        <v/>
      </c>
      <c r="C1735" s="63" t="n"/>
      <c r="D1735" s="61" t="n"/>
      <c r="E1735" s="60" t="n"/>
      <c r="F1735" s="61" t="n"/>
    </row>
    <row r="1736">
      <c r="A1736" s="60" t="n"/>
      <c r="B1736" s="65">
        <f>IF(A1736="","",IFERROR(INDEX(Bestand!$B$14:$B$213,MATCH(A1736,Bestand!$A$14:$A$213,0)),"ID unbekannt"))</f>
        <v/>
      </c>
      <c r="C1736" s="63" t="n"/>
      <c r="D1736" s="61" t="n"/>
      <c r="E1736" s="60" t="n"/>
      <c r="F1736" s="61" t="n"/>
    </row>
    <row r="1737">
      <c r="A1737" s="60" t="n"/>
      <c r="B1737" s="65">
        <f>IF(A1737="","",IFERROR(INDEX(Bestand!$B$14:$B$213,MATCH(A1737,Bestand!$A$14:$A$213,0)),"ID unbekannt"))</f>
        <v/>
      </c>
      <c r="C1737" s="63" t="n"/>
      <c r="D1737" s="61" t="n"/>
      <c r="E1737" s="60" t="n"/>
      <c r="F1737" s="61" t="n"/>
    </row>
    <row r="1738">
      <c r="A1738" s="60" t="n"/>
      <c r="B1738" s="65">
        <f>IF(A1738="","",IFERROR(INDEX(Bestand!$B$14:$B$213,MATCH(A1738,Bestand!$A$14:$A$213,0)),"ID unbekannt"))</f>
        <v/>
      </c>
      <c r="C1738" s="63" t="n"/>
      <c r="D1738" s="61" t="n"/>
      <c r="E1738" s="60" t="n"/>
      <c r="F1738" s="61" t="n"/>
    </row>
    <row r="1739">
      <c r="A1739" s="60" t="n"/>
      <c r="B1739" s="65">
        <f>IF(A1739="","",IFERROR(INDEX(Bestand!$B$14:$B$213,MATCH(A1739,Bestand!$A$14:$A$213,0)),"ID unbekannt"))</f>
        <v/>
      </c>
      <c r="C1739" s="63" t="n"/>
      <c r="D1739" s="61" t="n"/>
      <c r="E1739" s="60" t="n"/>
      <c r="F1739" s="61" t="n"/>
    </row>
    <row r="1740">
      <c r="A1740" s="60" t="n"/>
      <c r="B1740" s="65">
        <f>IF(A1740="","",IFERROR(INDEX(Bestand!$B$14:$B$213,MATCH(A1740,Bestand!$A$14:$A$213,0)),"ID unbekannt"))</f>
        <v/>
      </c>
      <c r="C1740" s="63" t="n"/>
      <c r="D1740" s="61" t="n"/>
      <c r="E1740" s="60" t="n"/>
      <c r="F1740" s="61" t="n"/>
    </row>
    <row r="1741">
      <c r="A1741" s="60" t="n"/>
      <c r="B1741" s="65">
        <f>IF(A1741="","",IFERROR(INDEX(Bestand!$B$14:$B$213,MATCH(A1741,Bestand!$A$14:$A$213,0)),"ID unbekannt"))</f>
        <v/>
      </c>
      <c r="C1741" s="63" t="n"/>
      <c r="D1741" s="61" t="n"/>
      <c r="E1741" s="60" t="n"/>
      <c r="F1741" s="61" t="n"/>
    </row>
    <row r="1742">
      <c r="A1742" s="60" t="n"/>
      <c r="B1742" s="65">
        <f>IF(A1742="","",IFERROR(INDEX(Bestand!$B$14:$B$213,MATCH(A1742,Bestand!$A$14:$A$213,0)),"ID unbekannt"))</f>
        <v/>
      </c>
      <c r="C1742" s="63" t="n"/>
      <c r="D1742" s="61" t="n"/>
      <c r="E1742" s="60" t="n"/>
      <c r="F1742" s="61" t="n"/>
    </row>
    <row r="1743">
      <c r="A1743" s="60" t="n"/>
      <c r="B1743" s="65">
        <f>IF(A1743="","",IFERROR(INDEX(Bestand!$B$14:$B$213,MATCH(A1743,Bestand!$A$14:$A$213,0)),"ID unbekannt"))</f>
        <v/>
      </c>
      <c r="C1743" s="63" t="n"/>
      <c r="D1743" s="61" t="n"/>
      <c r="E1743" s="60" t="n"/>
      <c r="F1743" s="61" t="n"/>
    </row>
    <row r="1744">
      <c r="A1744" s="60" t="n"/>
      <c r="B1744" s="65">
        <f>IF(A1744="","",IFERROR(INDEX(Bestand!$B$14:$B$213,MATCH(A1744,Bestand!$A$14:$A$213,0)),"ID unbekannt"))</f>
        <v/>
      </c>
      <c r="C1744" s="63" t="n"/>
      <c r="D1744" s="61" t="n"/>
      <c r="E1744" s="60" t="n"/>
      <c r="F1744" s="61" t="n"/>
    </row>
    <row r="1745">
      <c r="A1745" s="60" t="n"/>
      <c r="B1745" s="65">
        <f>IF(A1745="","",IFERROR(INDEX(Bestand!$B$14:$B$213,MATCH(A1745,Bestand!$A$14:$A$213,0)),"ID unbekannt"))</f>
        <v/>
      </c>
      <c r="C1745" s="63" t="n"/>
      <c r="D1745" s="61" t="n"/>
      <c r="E1745" s="60" t="n"/>
      <c r="F1745" s="61" t="n"/>
    </row>
    <row r="1746">
      <c r="A1746" s="60" t="n"/>
      <c r="B1746" s="65">
        <f>IF(A1746="","",IFERROR(INDEX(Bestand!$B$14:$B$213,MATCH(A1746,Bestand!$A$14:$A$213,0)),"ID unbekannt"))</f>
        <v/>
      </c>
      <c r="C1746" s="63" t="n"/>
      <c r="D1746" s="61" t="n"/>
      <c r="E1746" s="60" t="n"/>
      <c r="F1746" s="61" t="n"/>
    </row>
    <row r="1747">
      <c r="A1747" s="60" t="n"/>
      <c r="B1747" s="65">
        <f>IF(A1747="","",IFERROR(INDEX(Bestand!$B$14:$B$213,MATCH(A1747,Bestand!$A$14:$A$213,0)),"ID unbekannt"))</f>
        <v/>
      </c>
      <c r="C1747" s="63" t="n"/>
      <c r="D1747" s="61" t="n"/>
      <c r="E1747" s="60" t="n"/>
      <c r="F1747" s="61" t="n"/>
    </row>
    <row r="1748">
      <c r="A1748" s="60" t="n"/>
      <c r="B1748" s="65">
        <f>IF(A1748="","",IFERROR(INDEX(Bestand!$B$14:$B$213,MATCH(A1748,Bestand!$A$14:$A$213,0)),"ID unbekannt"))</f>
        <v/>
      </c>
      <c r="C1748" s="63" t="n"/>
      <c r="D1748" s="61" t="n"/>
      <c r="E1748" s="60" t="n"/>
      <c r="F1748" s="61" t="n"/>
    </row>
    <row r="1749">
      <c r="A1749" s="60" t="n"/>
      <c r="B1749" s="65">
        <f>IF(A1749="","",IFERROR(INDEX(Bestand!$B$14:$B$213,MATCH(A1749,Bestand!$A$14:$A$213,0)),"ID unbekannt"))</f>
        <v/>
      </c>
      <c r="C1749" s="63" t="n"/>
      <c r="D1749" s="61" t="n"/>
      <c r="E1749" s="60" t="n"/>
      <c r="F1749" s="61" t="n"/>
    </row>
    <row r="1750">
      <c r="A1750" s="60" t="n"/>
      <c r="B1750" s="65">
        <f>IF(A1750="","",IFERROR(INDEX(Bestand!$B$14:$B$213,MATCH(A1750,Bestand!$A$14:$A$213,0)),"ID unbekannt"))</f>
        <v/>
      </c>
      <c r="C1750" s="63" t="n"/>
      <c r="D1750" s="61" t="n"/>
      <c r="E1750" s="60" t="n"/>
      <c r="F1750" s="61" t="n"/>
    </row>
    <row r="1751">
      <c r="A1751" s="60" t="n"/>
      <c r="B1751" s="65">
        <f>IF(A1751="","",IFERROR(INDEX(Bestand!$B$14:$B$213,MATCH(A1751,Bestand!$A$14:$A$213,0)),"ID unbekannt"))</f>
        <v/>
      </c>
      <c r="C1751" s="63" t="n"/>
      <c r="D1751" s="61" t="n"/>
      <c r="E1751" s="60" t="n"/>
      <c r="F1751" s="61" t="n"/>
    </row>
    <row r="1752">
      <c r="A1752" s="60" t="n"/>
      <c r="B1752" s="65">
        <f>IF(A1752="","",IFERROR(INDEX(Bestand!$B$14:$B$213,MATCH(A1752,Bestand!$A$14:$A$213,0)),"ID unbekannt"))</f>
        <v/>
      </c>
      <c r="C1752" s="63" t="n"/>
      <c r="D1752" s="61" t="n"/>
      <c r="E1752" s="60" t="n"/>
      <c r="F1752" s="61" t="n"/>
    </row>
    <row r="1753">
      <c r="A1753" s="60" t="n"/>
      <c r="B1753" s="65">
        <f>IF(A1753="","",IFERROR(INDEX(Bestand!$B$14:$B$213,MATCH(A1753,Bestand!$A$14:$A$213,0)),"ID unbekannt"))</f>
        <v/>
      </c>
      <c r="C1753" s="63" t="n"/>
      <c r="D1753" s="61" t="n"/>
      <c r="E1753" s="60" t="n"/>
      <c r="F1753" s="61" t="n"/>
    </row>
    <row r="1754">
      <c r="A1754" s="60" t="n"/>
      <c r="B1754" s="65">
        <f>IF(A1754="","",IFERROR(INDEX(Bestand!$B$14:$B$213,MATCH(A1754,Bestand!$A$14:$A$213,0)),"ID unbekannt"))</f>
        <v/>
      </c>
      <c r="C1754" s="63" t="n"/>
      <c r="D1754" s="61" t="n"/>
      <c r="E1754" s="60" t="n"/>
      <c r="F1754" s="61" t="n"/>
    </row>
    <row r="1755">
      <c r="A1755" s="60" t="n"/>
      <c r="B1755" s="65">
        <f>IF(A1755="","",IFERROR(INDEX(Bestand!$B$14:$B$213,MATCH(A1755,Bestand!$A$14:$A$213,0)),"ID unbekannt"))</f>
        <v/>
      </c>
      <c r="C1755" s="63" t="n"/>
      <c r="D1755" s="61" t="n"/>
      <c r="E1755" s="60" t="n"/>
      <c r="F1755" s="61" t="n"/>
    </row>
    <row r="1756">
      <c r="A1756" s="60" t="n"/>
      <c r="B1756" s="65">
        <f>IF(A1756="","",IFERROR(INDEX(Bestand!$B$14:$B$213,MATCH(A1756,Bestand!$A$14:$A$213,0)),"ID unbekannt"))</f>
        <v/>
      </c>
      <c r="C1756" s="63" t="n"/>
      <c r="D1756" s="61" t="n"/>
      <c r="E1756" s="60" t="n"/>
      <c r="F1756" s="61" t="n"/>
    </row>
    <row r="1757">
      <c r="A1757" s="60" t="n"/>
      <c r="B1757" s="65">
        <f>IF(A1757="","",IFERROR(INDEX(Bestand!$B$14:$B$213,MATCH(A1757,Bestand!$A$14:$A$213,0)),"ID unbekannt"))</f>
        <v/>
      </c>
      <c r="C1757" s="63" t="n"/>
      <c r="D1757" s="61" t="n"/>
      <c r="E1757" s="60" t="n"/>
      <c r="F1757" s="61" t="n"/>
    </row>
    <row r="1758">
      <c r="A1758" s="60" t="n"/>
      <c r="B1758" s="65">
        <f>IF(A1758="","",IFERROR(INDEX(Bestand!$B$14:$B$213,MATCH(A1758,Bestand!$A$14:$A$213,0)),"ID unbekannt"))</f>
        <v/>
      </c>
      <c r="C1758" s="63" t="n"/>
      <c r="D1758" s="61" t="n"/>
      <c r="E1758" s="60" t="n"/>
      <c r="F1758" s="61" t="n"/>
    </row>
    <row r="1759">
      <c r="A1759" s="60" t="n"/>
      <c r="B1759" s="65">
        <f>IF(A1759="","",IFERROR(INDEX(Bestand!$B$14:$B$213,MATCH(A1759,Bestand!$A$14:$A$213,0)),"ID unbekannt"))</f>
        <v/>
      </c>
      <c r="C1759" s="63" t="n"/>
      <c r="D1759" s="61" t="n"/>
      <c r="E1759" s="60" t="n"/>
      <c r="F1759" s="61" t="n"/>
    </row>
    <row r="1760">
      <c r="A1760" s="60" t="n"/>
      <c r="B1760" s="65">
        <f>IF(A1760="","",IFERROR(INDEX(Bestand!$B$14:$B$213,MATCH(A1760,Bestand!$A$14:$A$213,0)),"ID unbekannt"))</f>
        <v/>
      </c>
      <c r="C1760" s="63" t="n"/>
      <c r="D1760" s="61" t="n"/>
      <c r="E1760" s="60" t="n"/>
      <c r="F1760" s="61" t="n"/>
    </row>
    <row r="1761">
      <c r="A1761" s="60" t="n"/>
      <c r="B1761" s="65">
        <f>IF(A1761="","",IFERROR(INDEX(Bestand!$B$14:$B$213,MATCH(A1761,Bestand!$A$14:$A$213,0)),"ID unbekannt"))</f>
        <v/>
      </c>
      <c r="C1761" s="63" t="n"/>
      <c r="D1761" s="61" t="n"/>
      <c r="E1761" s="60" t="n"/>
      <c r="F1761" s="61" t="n"/>
    </row>
    <row r="1762">
      <c r="A1762" s="60" t="n"/>
      <c r="B1762" s="65">
        <f>IF(A1762="","",IFERROR(INDEX(Bestand!$B$14:$B$213,MATCH(A1762,Bestand!$A$14:$A$213,0)),"ID unbekannt"))</f>
        <v/>
      </c>
      <c r="C1762" s="63" t="n"/>
      <c r="D1762" s="61" t="n"/>
      <c r="E1762" s="60" t="n"/>
      <c r="F1762" s="61" t="n"/>
    </row>
    <row r="1763">
      <c r="A1763" s="60" t="n"/>
      <c r="B1763" s="65">
        <f>IF(A1763="","",IFERROR(INDEX(Bestand!$B$14:$B$213,MATCH(A1763,Bestand!$A$14:$A$213,0)),"ID unbekannt"))</f>
        <v/>
      </c>
      <c r="C1763" s="63" t="n"/>
      <c r="D1763" s="61" t="n"/>
      <c r="E1763" s="60" t="n"/>
      <c r="F1763" s="61" t="n"/>
    </row>
    <row r="1764">
      <c r="A1764" s="60" t="n"/>
      <c r="B1764" s="65">
        <f>IF(A1764="","",IFERROR(INDEX(Bestand!$B$14:$B$213,MATCH(A1764,Bestand!$A$14:$A$213,0)),"ID unbekannt"))</f>
        <v/>
      </c>
      <c r="C1764" s="63" t="n"/>
      <c r="D1764" s="61" t="n"/>
      <c r="E1764" s="60" t="n"/>
      <c r="F1764" s="61" t="n"/>
    </row>
    <row r="1765">
      <c r="A1765" s="60" t="n"/>
      <c r="B1765" s="65">
        <f>IF(A1765="","",IFERROR(INDEX(Bestand!$B$14:$B$213,MATCH(A1765,Bestand!$A$14:$A$213,0)),"ID unbekannt"))</f>
        <v/>
      </c>
      <c r="C1765" s="63" t="n"/>
      <c r="D1765" s="61" t="n"/>
      <c r="E1765" s="60" t="n"/>
      <c r="F1765" s="61" t="n"/>
    </row>
    <row r="1766">
      <c r="A1766" s="60" t="n"/>
      <c r="B1766" s="65">
        <f>IF(A1766="","",IFERROR(INDEX(Bestand!$B$14:$B$213,MATCH(A1766,Bestand!$A$14:$A$213,0)),"ID unbekannt"))</f>
        <v/>
      </c>
      <c r="C1766" s="63" t="n"/>
      <c r="D1766" s="61" t="n"/>
      <c r="E1766" s="60" t="n"/>
      <c r="F1766" s="61" t="n"/>
    </row>
    <row r="1767">
      <c r="A1767" s="60" t="n"/>
      <c r="B1767" s="65">
        <f>IF(A1767="","",IFERROR(INDEX(Bestand!$B$14:$B$213,MATCH(A1767,Bestand!$A$14:$A$213,0)),"ID unbekannt"))</f>
        <v/>
      </c>
      <c r="C1767" s="63" t="n"/>
      <c r="D1767" s="61" t="n"/>
      <c r="E1767" s="60" t="n"/>
      <c r="F1767" s="61" t="n"/>
    </row>
    <row r="1768">
      <c r="A1768" s="60" t="n"/>
      <c r="B1768" s="65">
        <f>IF(A1768="","",IFERROR(INDEX(Bestand!$B$14:$B$213,MATCH(A1768,Bestand!$A$14:$A$213,0)),"ID unbekannt"))</f>
        <v/>
      </c>
      <c r="C1768" s="63" t="n"/>
      <c r="D1768" s="61" t="n"/>
      <c r="E1768" s="60" t="n"/>
      <c r="F1768" s="61" t="n"/>
    </row>
    <row r="1769">
      <c r="A1769" s="60" t="n"/>
      <c r="B1769" s="65">
        <f>IF(A1769="","",IFERROR(INDEX(Bestand!$B$14:$B$213,MATCH(A1769,Bestand!$A$14:$A$213,0)),"ID unbekannt"))</f>
        <v/>
      </c>
      <c r="C1769" s="63" t="n"/>
      <c r="D1769" s="61" t="n"/>
      <c r="E1769" s="60" t="n"/>
      <c r="F1769" s="61" t="n"/>
    </row>
    <row r="1770">
      <c r="A1770" s="60" t="n"/>
      <c r="B1770" s="65">
        <f>IF(A1770="","",IFERROR(INDEX(Bestand!$B$14:$B$213,MATCH(A1770,Bestand!$A$14:$A$213,0)),"ID unbekannt"))</f>
        <v/>
      </c>
      <c r="C1770" s="63" t="n"/>
      <c r="D1770" s="61" t="n"/>
      <c r="E1770" s="60" t="n"/>
      <c r="F1770" s="61" t="n"/>
    </row>
    <row r="1771">
      <c r="A1771" s="60" t="n"/>
      <c r="B1771" s="65">
        <f>IF(A1771="","",IFERROR(INDEX(Bestand!$B$14:$B$213,MATCH(A1771,Bestand!$A$14:$A$213,0)),"ID unbekannt"))</f>
        <v/>
      </c>
      <c r="C1771" s="63" t="n"/>
      <c r="D1771" s="61" t="n"/>
      <c r="E1771" s="60" t="n"/>
      <c r="F1771" s="61" t="n"/>
    </row>
    <row r="1772">
      <c r="A1772" s="60" t="n"/>
      <c r="B1772" s="65">
        <f>IF(A1772="","",IFERROR(INDEX(Bestand!$B$14:$B$213,MATCH(A1772,Bestand!$A$14:$A$213,0)),"ID unbekannt"))</f>
        <v/>
      </c>
      <c r="C1772" s="63" t="n"/>
      <c r="D1772" s="61" t="n"/>
      <c r="E1772" s="60" t="n"/>
      <c r="F1772" s="61" t="n"/>
    </row>
    <row r="1773">
      <c r="A1773" s="60" t="n"/>
      <c r="B1773" s="65">
        <f>IF(A1773="","",IFERROR(INDEX(Bestand!$B$14:$B$213,MATCH(A1773,Bestand!$A$14:$A$213,0)),"ID unbekannt"))</f>
        <v/>
      </c>
      <c r="C1773" s="63" t="n"/>
      <c r="D1773" s="61" t="n"/>
      <c r="E1773" s="60" t="n"/>
      <c r="F1773" s="61" t="n"/>
    </row>
    <row r="1774">
      <c r="A1774" s="60" t="n"/>
      <c r="B1774" s="65">
        <f>IF(A1774="","",IFERROR(INDEX(Bestand!$B$14:$B$213,MATCH(A1774,Bestand!$A$14:$A$213,0)),"ID unbekannt"))</f>
        <v/>
      </c>
      <c r="C1774" s="63" t="n"/>
      <c r="D1774" s="61" t="n"/>
      <c r="E1774" s="60" t="n"/>
      <c r="F1774" s="61" t="n"/>
    </row>
    <row r="1775">
      <c r="A1775" s="60" t="n"/>
      <c r="B1775" s="65">
        <f>IF(A1775="","",IFERROR(INDEX(Bestand!$B$14:$B$213,MATCH(A1775,Bestand!$A$14:$A$213,0)),"ID unbekannt"))</f>
        <v/>
      </c>
      <c r="C1775" s="63" t="n"/>
      <c r="D1775" s="61" t="n"/>
      <c r="E1775" s="60" t="n"/>
      <c r="F1775" s="61" t="n"/>
    </row>
    <row r="1776">
      <c r="A1776" s="60" t="n"/>
      <c r="B1776" s="65">
        <f>IF(A1776="","",IFERROR(INDEX(Bestand!$B$14:$B$213,MATCH(A1776,Bestand!$A$14:$A$213,0)),"ID unbekannt"))</f>
        <v/>
      </c>
      <c r="C1776" s="63" t="n"/>
      <c r="D1776" s="61" t="n"/>
      <c r="E1776" s="60" t="n"/>
      <c r="F1776" s="61" t="n"/>
    </row>
    <row r="1777">
      <c r="A1777" s="60" t="n"/>
      <c r="B1777" s="65">
        <f>IF(A1777="","",IFERROR(INDEX(Bestand!$B$14:$B$213,MATCH(A1777,Bestand!$A$14:$A$213,0)),"ID unbekannt"))</f>
        <v/>
      </c>
      <c r="C1777" s="63" t="n"/>
      <c r="D1777" s="61" t="n"/>
      <c r="E1777" s="60" t="n"/>
      <c r="F1777" s="61" t="n"/>
    </row>
    <row r="1778">
      <c r="A1778" s="60" t="n"/>
      <c r="B1778" s="65">
        <f>IF(A1778="","",IFERROR(INDEX(Bestand!$B$14:$B$213,MATCH(A1778,Bestand!$A$14:$A$213,0)),"ID unbekannt"))</f>
        <v/>
      </c>
      <c r="C1778" s="63" t="n"/>
      <c r="D1778" s="61" t="n"/>
      <c r="E1778" s="60" t="n"/>
      <c r="F1778" s="61" t="n"/>
    </row>
    <row r="1779">
      <c r="A1779" s="60" t="n"/>
      <c r="B1779" s="65">
        <f>IF(A1779="","",IFERROR(INDEX(Bestand!$B$14:$B$213,MATCH(A1779,Bestand!$A$14:$A$213,0)),"ID unbekannt"))</f>
        <v/>
      </c>
      <c r="C1779" s="63" t="n"/>
      <c r="D1779" s="61" t="n"/>
      <c r="E1779" s="60" t="n"/>
      <c r="F1779" s="61" t="n"/>
    </row>
    <row r="1780">
      <c r="A1780" s="60" t="n"/>
      <c r="B1780" s="65">
        <f>IF(A1780="","",IFERROR(INDEX(Bestand!$B$14:$B$213,MATCH(A1780,Bestand!$A$14:$A$213,0)),"ID unbekannt"))</f>
        <v/>
      </c>
      <c r="C1780" s="63" t="n"/>
      <c r="D1780" s="61" t="n"/>
      <c r="E1780" s="60" t="n"/>
      <c r="F1780" s="61" t="n"/>
    </row>
    <row r="1781">
      <c r="A1781" s="60" t="n"/>
      <c r="B1781" s="65">
        <f>IF(A1781="","",IFERROR(INDEX(Bestand!$B$14:$B$213,MATCH(A1781,Bestand!$A$14:$A$213,0)),"ID unbekannt"))</f>
        <v/>
      </c>
      <c r="C1781" s="63" t="n"/>
      <c r="D1781" s="61" t="n"/>
      <c r="E1781" s="60" t="n"/>
      <c r="F1781" s="61" t="n"/>
    </row>
    <row r="1782">
      <c r="A1782" s="60" t="n"/>
      <c r="B1782" s="65">
        <f>IF(A1782="","",IFERROR(INDEX(Bestand!$B$14:$B$213,MATCH(A1782,Bestand!$A$14:$A$213,0)),"ID unbekannt"))</f>
        <v/>
      </c>
      <c r="C1782" s="63" t="n"/>
      <c r="D1782" s="61" t="n"/>
      <c r="E1782" s="60" t="n"/>
      <c r="F1782" s="61" t="n"/>
    </row>
    <row r="1783">
      <c r="A1783" s="60" t="n"/>
      <c r="B1783" s="65">
        <f>IF(A1783="","",IFERROR(INDEX(Bestand!$B$14:$B$213,MATCH(A1783,Bestand!$A$14:$A$213,0)),"ID unbekannt"))</f>
        <v/>
      </c>
      <c r="C1783" s="63" t="n"/>
      <c r="D1783" s="61" t="n"/>
      <c r="E1783" s="60" t="n"/>
      <c r="F1783" s="61" t="n"/>
    </row>
    <row r="1784">
      <c r="A1784" s="60" t="n"/>
      <c r="B1784" s="65">
        <f>IF(A1784="","",IFERROR(INDEX(Bestand!$B$14:$B$213,MATCH(A1784,Bestand!$A$14:$A$213,0)),"ID unbekannt"))</f>
        <v/>
      </c>
      <c r="C1784" s="63" t="n"/>
      <c r="D1784" s="61" t="n"/>
      <c r="E1784" s="60" t="n"/>
      <c r="F1784" s="61" t="n"/>
    </row>
    <row r="1785">
      <c r="A1785" s="60" t="n"/>
      <c r="B1785" s="65">
        <f>IF(A1785="","",IFERROR(INDEX(Bestand!$B$14:$B$213,MATCH(A1785,Bestand!$A$14:$A$213,0)),"ID unbekannt"))</f>
        <v/>
      </c>
      <c r="C1785" s="63" t="n"/>
      <c r="D1785" s="61" t="n"/>
      <c r="E1785" s="60" t="n"/>
      <c r="F1785" s="61" t="n"/>
    </row>
    <row r="1786">
      <c r="A1786" s="60" t="n"/>
      <c r="B1786" s="65">
        <f>IF(A1786="","",IFERROR(INDEX(Bestand!$B$14:$B$213,MATCH(A1786,Bestand!$A$14:$A$213,0)),"ID unbekannt"))</f>
        <v/>
      </c>
      <c r="C1786" s="63" t="n"/>
      <c r="D1786" s="61" t="n"/>
      <c r="E1786" s="60" t="n"/>
      <c r="F1786" s="61" t="n"/>
    </row>
    <row r="1787">
      <c r="A1787" s="60" t="n"/>
      <c r="B1787" s="65">
        <f>IF(A1787="","",IFERROR(INDEX(Bestand!$B$14:$B$213,MATCH(A1787,Bestand!$A$14:$A$213,0)),"ID unbekannt"))</f>
        <v/>
      </c>
      <c r="C1787" s="63" t="n"/>
      <c r="D1787" s="61" t="n"/>
      <c r="E1787" s="60" t="n"/>
      <c r="F1787" s="61" t="n"/>
    </row>
    <row r="1788">
      <c r="A1788" s="60" t="n"/>
      <c r="B1788" s="65">
        <f>IF(A1788="","",IFERROR(INDEX(Bestand!$B$14:$B$213,MATCH(A1788,Bestand!$A$14:$A$213,0)),"ID unbekannt"))</f>
        <v/>
      </c>
      <c r="C1788" s="63" t="n"/>
      <c r="D1788" s="61" t="n"/>
      <c r="E1788" s="60" t="n"/>
      <c r="F1788" s="61" t="n"/>
    </row>
    <row r="1789">
      <c r="A1789" s="60" t="n"/>
      <c r="B1789" s="65">
        <f>IF(A1789="","",IFERROR(INDEX(Bestand!$B$14:$B$213,MATCH(A1789,Bestand!$A$14:$A$213,0)),"ID unbekannt"))</f>
        <v/>
      </c>
      <c r="C1789" s="63" t="n"/>
      <c r="D1789" s="61" t="n"/>
      <c r="E1789" s="60" t="n"/>
      <c r="F1789" s="61" t="n"/>
    </row>
    <row r="1790">
      <c r="A1790" s="60" t="n"/>
      <c r="B1790" s="65">
        <f>IF(A1790="","",IFERROR(INDEX(Bestand!$B$14:$B$213,MATCH(A1790,Bestand!$A$14:$A$213,0)),"ID unbekannt"))</f>
        <v/>
      </c>
      <c r="C1790" s="63" t="n"/>
      <c r="D1790" s="61" t="n"/>
      <c r="E1790" s="60" t="n"/>
      <c r="F1790" s="61" t="n"/>
    </row>
    <row r="1791">
      <c r="A1791" s="60" t="n"/>
      <c r="B1791" s="65">
        <f>IF(A1791="","",IFERROR(INDEX(Bestand!$B$14:$B$213,MATCH(A1791,Bestand!$A$14:$A$213,0)),"ID unbekannt"))</f>
        <v/>
      </c>
      <c r="C1791" s="63" t="n"/>
      <c r="D1791" s="61" t="n"/>
      <c r="E1791" s="60" t="n"/>
      <c r="F1791" s="61" t="n"/>
    </row>
    <row r="1792">
      <c r="A1792" s="60" t="n"/>
      <c r="B1792" s="65">
        <f>IF(A1792="","",IFERROR(INDEX(Bestand!$B$14:$B$213,MATCH(A1792,Bestand!$A$14:$A$213,0)),"ID unbekannt"))</f>
        <v/>
      </c>
      <c r="C1792" s="63" t="n"/>
      <c r="D1792" s="61" t="n"/>
      <c r="E1792" s="60" t="n"/>
      <c r="F1792" s="61" t="n"/>
    </row>
    <row r="1793">
      <c r="A1793" s="60" t="n"/>
      <c r="B1793" s="65">
        <f>IF(A1793="","",IFERROR(INDEX(Bestand!$B$14:$B$213,MATCH(A1793,Bestand!$A$14:$A$213,0)),"ID unbekannt"))</f>
        <v/>
      </c>
      <c r="C1793" s="63" t="n"/>
      <c r="D1793" s="61" t="n"/>
      <c r="E1793" s="60" t="n"/>
      <c r="F1793" s="61" t="n"/>
    </row>
    <row r="1794">
      <c r="A1794" s="60" t="n"/>
      <c r="B1794" s="65">
        <f>IF(A1794="","",IFERROR(INDEX(Bestand!$B$14:$B$213,MATCH(A1794,Bestand!$A$14:$A$213,0)),"ID unbekannt"))</f>
        <v/>
      </c>
      <c r="C1794" s="63" t="n"/>
      <c r="D1794" s="61" t="n"/>
      <c r="E1794" s="60" t="n"/>
      <c r="F1794" s="61" t="n"/>
    </row>
    <row r="1795">
      <c r="A1795" s="60" t="n"/>
      <c r="B1795" s="65">
        <f>IF(A1795="","",IFERROR(INDEX(Bestand!$B$14:$B$213,MATCH(A1795,Bestand!$A$14:$A$213,0)),"ID unbekannt"))</f>
        <v/>
      </c>
      <c r="C1795" s="63" t="n"/>
      <c r="D1795" s="61" t="n"/>
      <c r="E1795" s="60" t="n"/>
      <c r="F1795" s="61" t="n"/>
    </row>
    <row r="1796">
      <c r="A1796" s="60" t="n"/>
      <c r="B1796" s="65">
        <f>IF(A1796="","",IFERROR(INDEX(Bestand!$B$14:$B$213,MATCH(A1796,Bestand!$A$14:$A$213,0)),"ID unbekannt"))</f>
        <v/>
      </c>
      <c r="C1796" s="63" t="n"/>
      <c r="D1796" s="61" t="n"/>
      <c r="E1796" s="60" t="n"/>
      <c r="F1796" s="61" t="n"/>
    </row>
    <row r="1797">
      <c r="A1797" s="60" t="n"/>
      <c r="B1797" s="65">
        <f>IF(A1797="","",IFERROR(INDEX(Bestand!$B$14:$B$213,MATCH(A1797,Bestand!$A$14:$A$213,0)),"ID unbekannt"))</f>
        <v/>
      </c>
      <c r="C1797" s="63" t="n"/>
      <c r="D1797" s="61" t="n"/>
      <c r="E1797" s="60" t="n"/>
      <c r="F1797" s="61" t="n"/>
    </row>
    <row r="1798">
      <c r="A1798" s="60" t="n"/>
      <c r="B1798" s="65">
        <f>IF(A1798="","",IFERROR(INDEX(Bestand!$B$14:$B$213,MATCH(A1798,Bestand!$A$14:$A$213,0)),"ID unbekannt"))</f>
        <v/>
      </c>
      <c r="C1798" s="63" t="n"/>
      <c r="D1798" s="61" t="n"/>
      <c r="E1798" s="60" t="n"/>
      <c r="F1798" s="61" t="n"/>
    </row>
    <row r="1799">
      <c r="A1799" s="60" t="n"/>
      <c r="B1799" s="65">
        <f>IF(A1799="","",IFERROR(INDEX(Bestand!$B$14:$B$213,MATCH(A1799,Bestand!$A$14:$A$213,0)),"ID unbekannt"))</f>
        <v/>
      </c>
      <c r="C1799" s="63" t="n"/>
      <c r="D1799" s="61" t="n"/>
      <c r="E1799" s="60" t="n"/>
      <c r="F1799" s="61" t="n"/>
    </row>
    <row r="1800">
      <c r="A1800" s="60" t="n"/>
      <c r="B1800" s="65">
        <f>IF(A1800="","",IFERROR(INDEX(Bestand!$B$14:$B$213,MATCH(A1800,Bestand!$A$14:$A$213,0)),"ID unbekannt"))</f>
        <v/>
      </c>
      <c r="C1800" s="63" t="n"/>
      <c r="D1800" s="61" t="n"/>
      <c r="E1800" s="60" t="n"/>
      <c r="F1800" s="61" t="n"/>
    </row>
    <row r="1801">
      <c r="A1801" s="60" t="n"/>
      <c r="B1801" s="65">
        <f>IF(A1801="","",IFERROR(INDEX(Bestand!$B$14:$B$213,MATCH(A1801,Bestand!$A$14:$A$213,0)),"ID unbekannt"))</f>
        <v/>
      </c>
      <c r="C1801" s="63" t="n"/>
      <c r="D1801" s="61" t="n"/>
      <c r="E1801" s="60" t="n"/>
      <c r="F1801" s="61" t="n"/>
    </row>
    <row r="1802">
      <c r="A1802" s="60" t="n"/>
      <c r="B1802" s="65">
        <f>IF(A1802="","",IFERROR(INDEX(Bestand!$B$14:$B$213,MATCH(A1802,Bestand!$A$14:$A$213,0)),"ID unbekannt"))</f>
        <v/>
      </c>
      <c r="C1802" s="63" t="n"/>
      <c r="D1802" s="61" t="n"/>
      <c r="E1802" s="60" t="n"/>
      <c r="F1802" s="61" t="n"/>
    </row>
    <row r="1803">
      <c r="A1803" s="60" t="n"/>
      <c r="B1803" s="65">
        <f>IF(A1803="","",IFERROR(INDEX(Bestand!$B$14:$B$213,MATCH(A1803,Bestand!$A$14:$A$213,0)),"ID unbekannt"))</f>
        <v/>
      </c>
      <c r="C1803" s="63" t="n"/>
      <c r="D1803" s="61" t="n"/>
      <c r="E1803" s="60" t="n"/>
      <c r="F1803" s="61" t="n"/>
    </row>
    <row r="1804">
      <c r="A1804" s="60" t="n"/>
      <c r="B1804" s="65">
        <f>IF(A1804="","",IFERROR(INDEX(Bestand!$B$14:$B$213,MATCH(A1804,Bestand!$A$14:$A$213,0)),"ID unbekannt"))</f>
        <v/>
      </c>
      <c r="C1804" s="63" t="n"/>
      <c r="D1804" s="61" t="n"/>
      <c r="E1804" s="60" t="n"/>
      <c r="F1804" s="61" t="n"/>
    </row>
    <row r="1805">
      <c r="A1805" s="60" t="n"/>
      <c r="B1805" s="65">
        <f>IF(A1805="","",IFERROR(INDEX(Bestand!$B$14:$B$213,MATCH(A1805,Bestand!$A$14:$A$213,0)),"ID unbekannt"))</f>
        <v/>
      </c>
      <c r="C1805" s="63" t="n"/>
      <c r="D1805" s="61" t="n"/>
      <c r="E1805" s="60" t="n"/>
      <c r="F1805" s="61" t="n"/>
    </row>
    <row r="1806">
      <c r="A1806" s="60" t="n"/>
      <c r="B1806" s="65">
        <f>IF(A1806="","",IFERROR(INDEX(Bestand!$B$14:$B$213,MATCH(A1806,Bestand!$A$14:$A$213,0)),"ID unbekannt"))</f>
        <v/>
      </c>
      <c r="C1806" s="63" t="n"/>
      <c r="D1806" s="61" t="n"/>
      <c r="E1806" s="60" t="n"/>
      <c r="F1806" s="61" t="n"/>
    </row>
    <row r="1807">
      <c r="A1807" s="60" t="n"/>
      <c r="B1807" s="65">
        <f>IF(A1807="","",IFERROR(INDEX(Bestand!$B$14:$B$213,MATCH(A1807,Bestand!$A$14:$A$213,0)),"ID unbekannt"))</f>
        <v/>
      </c>
      <c r="C1807" s="63" t="n"/>
      <c r="D1807" s="61" t="n"/>
      <c r="E1807" s="60" t="n"/>
      <c r="F1807" s="61" t="n"/>
    </row>
    <row r="1808">
      <c r="A1808" s="60" t="n"/>
      <c r="B1808" s="65">
        <f>IF(A1808="","",IFERROR(INDEX(Bestand!$B$14:$B$213,MATCH(A1808,Bestand!$A$14:$A$213,0)),"ID unbekannt"))</f>
        <v/>
      </c>
      <c r="C1808" s="63" t="n"/>
      <c r="D1808" s="61" t="n"/>
      <c r="E1808" s="60" t="n"/>
      <c r="F1808" s="61" t="n"/>
    </row>
    <row r="1809">
      <c r="A1809" s="60" t="n"/>
      <c r="B1809" s="65">
        <f>IF(A1809="","",IFERROR(INDEX(Bestand!$B$14:$B$213,MATCH(A1809,Bestand!$A$14:$A$213,0)),"ID unbekannt"))</f>
        <v/>
      </c>
      <c r="C1809" s="63" t="n"/>
      <c r="D1809" s="61" t="n"/>
      <c r="E1809" s="60" t="n"/>
      <c r="F1809" s="61" t="n"/>
    </row>
    <row r="1810">
      <c r="A1810" s="60" t="n"/>
      <c r="B1810" s="65">
        <f>IF(A1810="","",IFERROR(INDEX(Bestand!$B$14:$B$213,MATCH(A1810,Bestand!$A$14:$A$213,0)),"ID unbekannt"))</f>
        <v/>
      </c>
      <c r="C1810" s="63" t="n"/>
      <c r="D1810" s="61" t="n"/>
      <c r="E1810" s="60" t="n"/>
      <c r="F1810" s="61" t="n"/>
    </row>
    <row r="1811">
      <c r="A1811" s="60" t="n"/>
      <c r="B1811" s="65">
        <f>IF(A1811="","",IFERROR(INDEX(Bestand!$B$14:$B$213,MATCH(A1811,Bestand!$A$14:$A$213,0)),"ID unbekannt"))</f>
        <v/>
      </c>
      <c r="C1811" s="63" t="n"/>
      <c r="D1811" s="61" t="n"/>
      <c r="E1811" s="60" t="n"/>
      <c r="F1811" s="61" t="n"/>
    </row>
    <row r="1812">
      <c r="A1812" s="60" t="n"/>
      <c r="B1812" s="65">
        <f>IF(A1812="","",IFERROR(INDEX(Bestand!$B$14:$B$213,MATCH(A1812,Bestand!$A$14:$A$213,0)),"ID unbekannt"))</f>
        <v/>
      </c>
      <c r="C1812" s="63" t="n"/>
      <c r="D1812" s="61" t="n"/>
      <c r="E1812" s="60" t="n"/>
      <c r="F1812" s="61" t="n"/>
    </row>
    <row r="1813">
      <c r="A1813" s="60" t="n"/>
      <c r="B1813" s="65">
        <f>IF(A1813="","",IFERROR(INDEX(Bestand!$B$14:$B$213,MATCH(A1813,Bestand!$A$14:$A$213,0)),"ID unbekannt"))</f>
        <v/>
      </c>
      <c r="C1813" s="63" t="n"/>
      <c r="D1813" s="61" t="n"/>
      <c r="E1813" s="60" t="n"/>
      <c r="F1813" s="61" t="n"/>
    </row>
    <row r="1814">
      <c r="A1814" s="60" t="n"/>
      <c r="B1814" s="65">
        <f>IF(A1814="","",IFERROR(INDEX(Bestand!$B$14:$B$213,MATCH(A1814,Bestand!$A$14:$A$213,0)),"ID unbekannt"))</f>
        <v/>
      </c>
      <c r="C1814" s="63" t="n"/>
      <c r="D1814" s="61" t="n"/>
      <c r="E1814" s="60" t="n"/>
      <c r="F1814" s="61" t="n"/>
    </row>
    <row r="1815">
      <c r="A1815" s="60" t="n"/>
      <c r="B1815" s="65">
        <f>IF(A1815="","",IFERROR(INDEX(Bestand!$B$14:$B$213,MATCH(A1815,Bestand!$A$14:$A$213,0)),"ID unbekannt"))</f>
        <v/>
      </c>
      <c r="C1815" s="63" t="n"/>
      <c r="D1815" s="61" t="n"/>
      <c r="E1815" s="60" t="n"/>
      <c r="F1815" s="61" t="n"/>
    </row>
    <row r="1816">
      <c r="A1816" s="60" t="n"/>
      <c r="B1816" s="65">
        <f>IF(A1816="","",IFERROR(INDEX(Bestand!$B$14:$B$213,MATCH(A1816,Bestand!$A$14:$A$213,0)),"ID unbekannt"))</f>
        <v/>
      </c>
      <c r="C1816" s="63" t="n"/>
      <c r="D1816" s="61" t="n"/>
      <c r="E1816" s="60" t="n"/>
      <c r="F1816" s="61" t="n"/>
    </row>
    <row r="1817">
      <c r="A1817" s="60" t="n"/>
      <c r="B1817" s="65">
        <f>IF(A1817="","",IFERROR(INDEX(Bestand!$B$14:$B$213,MATCH(A1817,Bestand!$A$14:$A$213,0)),"ID unbekannt"))</f>
        <v/>
      </c>
      <c r="C1817" s="63" t="n"/>
      <c r="D1817" s="61" t="n"/>
      <c r="E1817" s="60" t="n"/>
      <c r="F1817" s="61" t="n"/>
    </row>
    <row r="1818">
      <c r="A1818" s="60" t="n"/>
      <c r="B1818" s="65">
        <f>IF(A1818="","",IFERROR(INDEX(Bestand!$B$14:$B$213,MATCH(A1818,Bestand!$A$14:$A$213,0)),"ID unbekannt"))</f>
        <v/>
      </c>
      <c r="C1818" s="63" t="n"/>
      <c r="D1818" s="61" t="n"/>
      <c r="E1818" s="60" t="n"/>
      <c r="F1818" s="61" t="n"/>
    </row>
    <row r="1819">
      <c r="A1819" s="60" t="n"/>
      <c r="B1819" s="65">
        <f>IF(A1819="","",IFERROR(INDEX(Bestand!$B$14:$B$213,MATCH(A1819,Bestand!$A$14:$A$213,0)),"ID unbekannt"))</f>
        <v/>
      </c>
      <c r="C1819" s="63" t="n"/>
      <c r="D1819" s="61" t="n"/>
      <c r="E1819" s="60" t="n"/>
      <c r="F1819" s="61" t="n"/>
    </row>
    <row r="1820">
      <c r="A1820" s="60" t="n"/>
      <c r="B1820" s="65">
        <f>IF(A1820="","",IFERROR(INDEX(Bestand!$B$14:$B$213,MATCH(A1820,Bestand!$A$14:$A$213,0)),"ID unbekannt"))</f>
        <v/>
      </c>
      <c r="C1820" s="63" t="n"/>
      <c r="D1820" s="61" t="n"/>
      <c r="E1820" s="60" t="n"/>
      <c r="F1820" s="61" t="n"/>
    </row>
    <row r="1821">
      <c r="A1821" s="60" t="n"/>
      <c r="B1821" s="65">
        <f>IF(A1821="","",IFERROR(INDEX(Bestand!$B$14:$B$213,MATCH(A1821,Bestand!$A$14:$A$213,0)),"ID unbekannt"))</f>
        <v/>
      </c>
      <c r="C1821" s="63" t="n"/>
      <c r="D1821" s="61" t="n"/>
      <c r="E1821" s="60" t="n"/>
      <c r="F1821" s="61" t="n"/>
    </row>
    <row r="1822">
      <c r="A1822" s="60" t="n"/>
      <c r="B1822" s="65">
        <f>IF(A1822="","",IFERROR(INDEX(Bestand!$B$14:$B$213,MATCH(A1822,Bestand!$A$14:$A$213,0)),"ID unbekannt"))</f>
        <v/>
      </c>
      <c r="C1822" s="63" t="n"/>
      <c r="D1822" s="61" t="n"/>
      <c r="E1822" s="60" t="n"/>
      <c r="F1822" s="61" t="n"/>
    </row>
    <row r="1823">
      <c r="A1823" s="60" t="n"/>
      <c r="B1823" s="65">
        <f>IF(A1823="","",IFERROR(INDEX(Bestand!$B$14:$B$213,MATCH(A1823,Bestand!$A$14:$A$213,0)),"ID unbekannt"))</f>
        <v/>
      </c>
      <c r="C1823" s="63" t="n"/>
      <c r="D1823" s="61" t="n"/>
      <c r="E1823" s="60" t="n"/>
      <c r="F1823" s="61" t="n"/>
    </row>
    <row r="1824">
      <c r="A1824" s="60" t="n"/>
      <c r="B1824" s="65">
        <f>IF(A1824="","",IFERROR(INDEX(Bestand!$B$14:$B$213,MATCH(A1824,Bestand!$A$14:$A$213,0)),"ID unbekannt"))</f>
        <v/>
      </c>
      <c r="C1824" s="63" t="n"/>
      <c r="D1824" s="61" t="n"/>
      <c r="E1824" s="60" t="n"/>
      <c r="F1824" s="61" t="n"/>
    </row>
    <row r="1825">
      <c r="A1825" s="60" t="n"/>
      <c r="B1825" s="65">
        <f>IF(A1825="","",IFERROR(INDEX(Bestand!$B$14:$B$213,MATCH(A1825,Bestand!$A$14:$A$213,0)),"ID unbekannt"))</f>
        <v/>
      </c>
      <c r="C1825" s="63" t="n"/>
      <c r="D1825" s="61" t="n"/>
      <c r="E1825" s="60" t="n"/>
      <c r="F1825" s="61" t="n"/>
    </row>
    <row r="1826">
      <c r="A1826" s="60" t="n"/>
      <c r="B1826" s="65">
        <f>IF(A1826="","",IFERROR(INDEX(Bestand!$B$14:$B$213,MATCH(A1826,Bestand!$A$14:$A$213,0)),"ID unbekannt"))</f>
        <v/>
      </c>
      <c r="C1826" s="63" t="n"/>
      <c r="D1826" s="61" t="n"/>
      <c r="E1826" s="60" t="n"/>
      <c r="F1826" s="61" t="n"/>
    </row>
    <row r="1827">
      <c r="A1827" s="60" t="n"/>
      <c r="B1827" s="65">
        <f>IF(A1827="","",IFERROR(INDEX(Bestand!$B$14:$B$213,MATCH(A1827,Bestand!$A$14:$A$213,0)),"ID unbekannt"))</f>
        <v/>
      </c>
      <c r="C1827" s="63" t="n"/>
      <c r="D1827" s="61" t="n"/>
      <c r="E1827" s="60" t="n"/>
      <c r="F1827" s="61" t="n"/>
    </row>
    <row r="1828">
      <c r="A1828" s="60" t="n"/>
      <c r="B1828" s="65">
        <f>IF(A1828="","",IFERROR(INDEX(Bestand!$B$14:$B$213,MATCH(A1828,Bestand!$A$14:$A$213,0)),"ID unbekannt"))</f>
        <v/>
      </c>
      <c r="C1828" s="63" t="n"/>
      <c r="D1828" s="61" t="n"/>
      <c r="E1828" s="60" t="n"/>
      <c r="F1828" s="61" t="n"/>
    </row>
    <row r="1829">
      <c r="A1829" s="60" t="n"/>
      <c r="B1829" s="65">
        <f>IF(A1829="","",IFERROR(INDEX(Bestand!$B$14:$B$213,MATCH(A1829,Bestand!$A$14:$A$213,0)),"ID unbekannt"))</f>
        <v/>
      </c>
      <c r="C1829" s="63" t="n"/>
      <c r="D1829" s="61" t="n"/>
      <c r="E1829" s="60" t="n"/>
      <c r="F1829" s="61" t="n"/>
    </row>
    <row r="1830">
      <c r="A1830" s="60" t="n"/>
      <c r="B1830" s="65">
        <f>IF(A1830="","",IFERROR(INDEX(Bestand!$B$14:$B$213,MATCH(A1830,Bestand!$A$14:$A$213,0)),"ID unbekannt"))</f>
        <v/>
      </c>
      <c r="C1830" s="63" t="n"/>
      <c r="D1830" s="61" t="n"/>
      <c r="E1830" s="60" t="n"/>
      <c r="F1830" s="61" t="n"/>
    </row>
    <row r="1831">
      <c r="A1831" s="60" t="n"/>
      <c r="B1831" s="65">
        <f>IF(A1831="","",IFERROR(INDEX(Bestand!$B$14:$B$213,MATCH(A1831,Bestand!$A$14:$A$213,0)),"ID unbekannt"))</f>
        <v/>
      </c>
      <c r="C1831" s="63" t="n"/>
      <c r="D1831" s="61" t="n"/>
      <c r="E1831" s="60" t="n"/>
      <c r="F1831" s="61" t="n"/>
    </row>
    <row r="1832">
      <c r="A1832" s="60" t="n"/>
      <c r="B1832" s="65">
        <f>IF(A1832="","",IFERROR(INDEX(Bestand!$B$14:$B$213,MATCH(A1832,Bestand!$A$14:$A$213,0)),"ID unbekannt"))</f>
        <v/>
      </c>
      <c r="C1832" s="63" t="n"/>
      <c r="D1832" s="61" t="n"/>
      <c r="E1832" s="60" t="n"/>
      <c r="F1832" s="61" t="n"/>
    </row>
    <row r="1833">
      <c r="A1833" s="60" t="n"/>
      <c r="B1833" s="65">
        <f>IF(A1833="","",IFERROR(INDEX(Bestand!$B$14:$B$213,MATCH(A1833,Bestand!$A$14:$A$213,0)),"ID unbekannt"))</f>
        <v/>
      </c>
      <c r="C1833" s="63" t="n"/>
      <c r="D1833" s="61" t="n"/>
      <c r="E1833" s="60" t="n"/>
      <c r="F1833" s="61" t="n"/>
    </row>
    <row r="1834">
      <c r="A1834" s="60" t="n"/>
      <c r="B1834" s="65">
        <f>IF(A1834="","",IFERROR(INDEX(Bestand!$B$14:$B$213,MATCH(A1834,Bestand!$A$14:$A$213,0)),"ID unbekannt"))</f>
        <v/>
      </c>
      <c r="C1834" s="63" t="n"/>
      <c r="D1834" s="61" t="n"/>
      <c r="E1834" s="60" t="n"/>
      <c r="F1834" s="61" t="n"/>
    </row>
    <row r="1835">
      <c r="A1835" s="60" t="n"/>
      <c r="B1835" s="65">
        <f>IF(A1835="","",IFERROR(INDEX(Bestand!$B$14:$B$213,MATCH(A1835,Bestand!$A$14:$A$213,0)),"ID unbekannt"))</f>
        <v/>
      </c>
      <c r="C1835" s="63" t="n"/>
      <c r="D1835" s="61" t="n"/>
      <c r="E1835" s="60" t="n"/>
      <c r="F1835" s="61" t="n"/>
    </row>
    <row r="1836">
      <c r="A1836" s="60" t="n"/>
      <c r="B1836" s="65">
        <f>IF(A1836="","",IFERROR(INDEX(Bestand!$B$14:$B$213,MATCH(A1836,Bestand!$A$14:$A$213,0)),"ID unbekannt"))</f>
        <v/>
      </c>
      <c r="C1836" s="63" t="n"/>
      <c r="D1836" s="61" t="n"/>
      <c r="E1836" s="60" t="n"/>
      <c r="F1836" s="61" t="n"/>
    </row>
    <row r="1837">
      <c r="A1837" s="60" t="n"/>
      <c r="B1837" s="65">
        <f>IF(A1837="","",IFERROR(INDEX(Bestand!$B$14:$B$213,MATCH(A1837,Bestand!$A$14:$A$213,0)),"ID unbekannt"))</f>
        <v/>
      </c>
      <c r="C1837" s="63" t="n"/>
      <c r="D1837" s="61" t="n"/>
      <c r="E1837" s="60" t="n"/>
      <c r="F1837" s="61" t="n"/>
    </row>
    <row r="1838">
      <c r="A1838" s="60" t="n"/>
      <c r="B1838" s="65">
        <f>IF(A1838="","",IFERROR(INDEX(Bestand!$B$14:$B$213,MATCH(A1838,Bestand!$A$14:$A$213,0)),"ID unbekannt"))</f>
        <v/>
      </c>
      <c r="C1838" s="63" t="n"/>
      <c r="D1838" s="61" t="n"/>
      <c r="E1838" s="60" t="n"/>
      <c r="F1838" s="61" t="n"/>
    </row>
    <row r="1839">
      <c r="A1839" s="60" t="n"/>
      <c r="B1839" s="65">
        <f>IF(A1839="","",IFERROR(INDEX(Bestand!$B$14:$B$213,MATCH(A1839,Bestand!$A$14:$A$213,0)),"ID unbekannt"))</f>
        <v/>
      </c>
      <c r="C1839" s="63" t="n"/>
      <c r="D1839" s="61" t="n"/>
      <c r="E1839" s="60" t="n"/>
      <c r="F1839" s="61" t="n"/>
    </row>
    <row r="1840">
      <c r="A1840" s="60" t="n"/>
      <c r="B1840" s="65">
        <f>IF(A1840="","",IFERROR(INDEX(Bestand!$B$14:$B$213,MATCH(A1840,Bestand!$A$14:$A$213,0)),"ID unbekannt"))</f>
        <v/>
      </c>
      <c r="C1840" s="63" t="n"/>
      <c r="D1840" s="61" t="n"/>
      <c r="E1840" s="60" t="n"/>
      <c r="F1840" s="61" t="n"/>
    </row>
    <row r="1841">
      <c r="A1841" s="60" t="n"/>
      <c r="B1841" s="65">
        <f>IF(A1841="","",IFERROR(INDEX(Bestand!$B$14:$B$213,MATCH(A1841,Bestand!$A$14:$A$213,0)),"ID unbekannt"))</f>
        <v/>
      </c>
      <c r="C1841" s="63" t="n"/>
      <c r="D1841" s="61" t="n"/>
      <c r="E1841" s="60" t="n"/>
      <c r="F1841" s="61" t="n"/>
    </row>
    <row r="1842">
      <c r="A1842" s="60" t="n"/>
      <c r="B1842" s="65">
        <f>IF(A1842="","",IFERROR(INDEX(Bestand!$B$14:$B$213,MATCH(A1842,Bestand!$A$14:$A$213,0)),"ID unbekannt"))</f>
        <v/>
      </c>
      <c r="C1842" s="63" t="n"/>
      <c r="D1842" s="61" t="n"/>
      <c r="E1842" s="60" t="n"/>
      <c r="F1842" s="61" t="n"/>
    </row>
    <row r="1843">
      <c r="A1843" s="60" t="n"/>
      <c r="B1843" s="65">
        <f>IF(A1843="","",IFERROR(INDEX(Bestand!$B$14:$B$213,MATCH(A1843,Bestand!$A$14:$A$213,0)),"ID unbekannt"))</f>
        <v/>
      </c>
      <c r="C1843" s="63" t="n"/>
      <c r="D1843" s="61" t="n"/>
      <c r="E1843" s="60" t="n"/>
      <c r="F1843" s="61" t="n"/>
    </row>
    <row r="1844">
      <c r="A1844" s="60" t="n"/>
      <c r="B1844" s="65">
        <f>IF(A1844="","",IFERROR(INDEX(Bestand!$B$14:$B$213,MATCH(A1844,Bestand!$A$14:$A$213,0)),"ID unbekannt"))</f>
        <v/>
      </c>
      <c r="C1844" s="63" t="n"/>
      <c r="D1844" s="61" t="n"/>
      <c r="E1844" s="60" t="n"/>
      <c r="F1844" s="61" t="n"/>
    </row>
    <row r="1845">
      <c r="A1845" s="60" t="n"/>
      <c r="B1845" s="65">
        <f>IF(A1845="","",IFERROR(INDEX(Bestand!$B$14:$B$213,MATCH(A1845,Bestand!$A$14:$A$213,0)),"ID unbekannt"))</f>
        <v/>
      </c>
      <c r="C1845" s="63" t="n"/>
      <c r="D1845" s="61" t="n"/>
      <c r="E1845" s="60" t="n"/>
      <c r="F1845" s="61" t="n"/>
    </row>
    <row r="1846">
      <c r="A1846" s="60" t="n"/>
      <c r="B1846" s="65">
        <f>IF(A1846="","",IFERROR(INDEX(Bestand!$B$14:$B$213,MATCH(A1846,Bestand!$A$14:$A$213,0)),"ID unbekannt"))</f>
        <v/>
      </c>
      <c r="C1846" s="63" t="n"/>
      <c r="D1846" s="61" t="n"/>
      <c r="E1846" s="60" t="n"/>
      <c r="F1846" s="61" t="n"/>
    </row>
    <row r="1847">
      <c r="A1847" s="60" t="n"/>
      <c r="B1847" s="65">
        <f>IF(A1847="","",IFERROR(INDEX(Bestand!$B$14:$B$213,MATCH(A1847,Bestand!$A$14:$A$213,0)),"ID unbekannt"))</f>
        <v/>
      </c>
      <c r="C1847" s="63" t="n"/>
      <c r="D1847" s="61" t="n"/>
      <c r="E1847" s="60" t="n"/>
      <c r="F1847" s="61" t="n"/>
    </row>
    <row r="1848">
      <c r="A1848" s="60" t="n"/>
      <c r="B1848" s="65">
        <f>IF(A1848="","",IFERROR(INDEX(Bestand!$B$14:$B$213,MATCH(A1848,Bestand!$A$14:$A$213,0)),"ID unbekannt"))</f>
        <v/>
      </c>
      <c r="C1848" s="63" t="n"/>
      <c r="D1848" s="61" t="n"/>
      <c r="E1848" s="60" t="n"/>
      <c r="F1848" s="61" t="n"/>
    </row>
    <row r="1849">
      <c r="A1849" s="60" t="n"/>
      <c r="B1849" s="65">
        <f>IF(A1849="","",IFERROR(INDEX(Bestand!$B$14:$B$213,MATCH(A1849,Bestand!$A$14:$A$213,0)),"ID unbekannt"))</f>
        <v/>
      </c>
      <c r="C1849" s="63" t="n"/>
      <c r="D1849" s="61" t="n"/>
      <c r="E1849" s="60" t="n"/>
      <c r="F1849" s="61" t="n"/>
    </row>
    <row r="1850">
      <c r="A1850" s="60" t="n"/>
      <c r="B1850" s="65">
        <f>IF(A1850="","",IFERROR(INDEX(Bestand!$B$14:$B$213,MATCH(A1850,Bestand!$A$14:$A$213,0)),"ID unbekannt"))</f>
        <v/>
      </c>
      <c r="C1850" s="63" t="n"/>
      <c r="D1850" s="61" t="n"/>
      <c r="E1850" s="60" t="n"/>
      <c r="F1850" s="61" t="n"/>
    </row>
    <row r="1851">
      <c r="A1851" s="60" t="n"/>
      <c r="B1851" s="65">
        <f>IF(A1851="","",IFERROR(INDEX(Bestand!$B$14:$B$213,MATCH(A1851,Bestand!$A$14:$A$213,0)),"ID unbekannt"))</f>
        <v/>
      </c>
      <c r="C1851" s="63" t="n"/>
      <c r="D1851" s="61" t="n"/>
      <c r="E1851" s="60" t="n"/>
      <c r="F1851" s="61" t="n"/>
    </row>
    <row r="1852">
      <c r="A1852" s="60" t="n"/>
      <c r="B1852" s="65">
        <f>IF(A1852="","",IFERROR(INDEX(Bestand!$B$14:$B$213,MATCH(A1852,Bestand!$A$14:$A$213,0)),"ID unbekannt"))</f>
        <v/>
      </c>
      <c r="C1852" s="63" t="n"/>
      <c r="D1852" s="61" t="n"/>
      <c r="E1852" s="60" t="n"/>
      <c r="F1852" s="61" t="n"/>
    </row>
    <row r="1853">
      <c r="A1853" s="60" t="n"/>
      <c r="B1853" s="65">
        <f>IF(A1853="","",IFERROR(INDEX(Bestand!$B$14:$B$213,MATCH(A1853,Bestand!$A$14:$A$213,0)),"ID unbekannt"))</f>
        <v/>
      </c>
      <c r="C1853" s="63" t="n"/>
      <c r="D1853" s="61" t="n"/>
      <c r="E1853" s="60" t="n"/>
      <c r="F1853" s="61" t="n"/>
    </row>
    <row r="1854">
      <c r="A1854" s="60" t="n"/>
      <c r="B1854" s="65">
        <f>IF(A1854="","",IFERROR(INDEX(Bestand!$B$14:$B$213,MATCH(A1854,Bestand!$A$14:$A$213,0)),"ID unbekannt"))</f>
        <v/>
      </c>
      <c r="C1854" s="63" t="n"/>
      <c r="D1854" s="61" t="n"/>
      <c r="E1854" s="60" t="n"/>
      <c r="F1854" s="61" t="n"/>
    </row>
    <row r="1855">
      <c r="A1855" s="60" t="n"/>
      <c r="B1855" s="65">
        <f>IF(A1855="","",IFERROR(INDEX(Bestand!$B$14:$B$213,MATCH(A1855,Bestand!$A$14:$A$213,0)),"ID unbekannt"))</f>
        <v/>
      </c>
      <c r="C1855" s="63" t="n"/>
      <c r="D1855" s="61" t="n"/>
      <c r="E1855" s="60" t="n"/>
      <c r="F1855" s="61" t="n"/>
    </row>
    <row r="1856">
      <c r="A1856" s="60" t="n"/>
      <c r="B1856" s="65">
        <f>IF(A1856="","",IFERROR(INDEX(Bestand!$B$14:$B$213,MATCH(A1856,Bestand!$A$14:$A$213,0)),"ID unbekannt"))</f>
        <v/>
      </c>
      <c r="C1856" s="63" t="n"/>
      <c r="D1856" s="61" t="n"/>
      <c r="E1856" s="60" t="n"/>
      <c r="F1856" s="61" t="n"/>
    </row>
    <row r="1857">
      <c r="A1857" s="60" t="n"/>
      <c r="B1857" s="65">
        <f>IF(A1857="","",IFERROR(INDEX(Bestand!$B$14:$B$213,MATCH(A1857,Bestand!$A$14:$A$213,0)),"ID unbekannt"))</f>
        <v/>
      </c>
      <c r="C1857" s="63" t="n"/>
      <c r="D1857" s="61" t="n"/>
      <c r="E1857" s="60" t="n"/>
      <c r="F1857" s="61" t="n"/>
    </row>
    <row r="1858">
      <c r="A1858" s="60" t="n"/>
      <c r="B1858" s="65">
        <f>IF(A1858="","",IFERROR(INDEX(Bestand!$B$14:$B$213,MATCH(A1858,Bestand!$A$14:$A$213,0)),"ID unbekannt"))</f>
        <v/>
      </c>
      <c r="C1858" s="63" t="n"/>
      <c r="D1858" s="61" t="n"/>
      <c r="E1858" s="60" t="n"/>
      <c r="F1858" s="61" t="n"/>
    </row>
    <row r="1859">
      <c r="A1859" s="60" t="n"/>
      <c r="B1859" s="65">
        <f>IF(A1859="","",IFERROR(INDEX(Bestand!$B$14:$B$213,MATCH(A1859,Bestand!$A$14:$A$213,0)),"ID unbekannt"))</f>
        <v/>
      </c>
      <c r="C1859" s="63" t="n"/>
      <c r="D1859" s="61" t="n"/>
      <c r="E1859" s="60" t="n"/>
      <c r="F1859" s="61" t="n"/>
    </row>
    <row r="1860">
      <c r="A1860" s="60" t="n"/>
      <c r="B1860" s="65">
        <f>IF(A1860="","",IFERROR(INDEX(Bestand!$B$14:$B$213,MATCH(A1860,Bestand!$A$14:$A$213,0)),"ID unbekannt"))</f>
        <v/>
      </c>
      <c r="C1860" s="63" t="n"/>
      <c r="D1860" s="61" t="n"/>
      <c r="E1860" s="60" t="n"/>
      <c r="F1860" s="61" t="n"/>
    </row>
    <row r="1861">
      <c r="A1861" s="60" t="n"/>
      <c r="B1861" s="65">
        <f>IF(A1861="","",IFERROR(INDEX(Bestand!$B$14:$B$213,MATCH(A1861,Bestand!$A$14:$A$213,0)),"ID unbekannt"))</f>
        <v/>
      </c>
      <c r="C1861" s="63" t="n"/>
      <c r="D1861" s="61" t="n"/>
      <c r="E1861" s="60" t="n"/>
      <c r="F1861" s="61" t="n"/>
    </row>
    <row r="1862">
      <c r="A1862" s="60" t="n"/>
      <c r="B1862" s="65">
        <f>IF(A1862="","",IFERROR(INDEX(Bestand!$B$14:$B$213,MATCH(A1862,Bestand!$A$14:$A$213,0)),"ID unbekannt"))</f>
        <v/>
      </c>
      <c r="C1862" s="63" t="n"/>
      <c r="D1862" s="61" t="n"/>
      <c r="E1862" s="60" t="n"/>
      <c r="F1862" s="61" t="n"/>
    </row>
    <row r="1863">
      <c r="A1863" s="60" t="n"/>
      <c r="B1863" s="65">
        <f>IF(A1863="","",IFERROR(INDEX(Bestand!$B$14:$B$213,MATCH(A1863,Bestand!$A$14:$A$213,0)),"ID unbekannt"))</f>
        <v/>
      </c>
      <c r="C1863" s="63" t="n"/>
      <c r="D1863" s="61" t="n"/>
      <c r="E1863" s="60" t="n"/>
      <c r="F1863" s="61" t="n"/>
    </row>
    <row r="1864">
      <c r="A1864" s="60" t="n"/>
      <c r="B1864" s="65">
        <f>IF(A1864="","",IFERROR(INDEX(Bestand!$B$14:$B$213,MATCH(A1864,Bestand!$A$14:$A$213,0)),"ID unbekannt"))</f>
        <v/>
      </c>
      <c r="C1864" s="63" t="n"/>
      <c r="D1864" s="61" t="n"/>
      <c r="E1864" s="60" t="n"/>
      <c r="F1864" s="61" t="n"/>
    </row>
    <row r="1865">
      <c r="A1865" s="60" t="n"/>
      <c r="B1865" s="65">
        <f>IF(A1865="","",IFERROR(INDEX(Bestand!$B$14:$B$213,MATCH(A1865,Bestand!$A$14:$A$213,0)),"ID unbekannt"))</f>
        <v/>
      </c>
      <c r="C1865" s="63" t="n"/>
      <c r="D1865" s="61" t="n"/>
      <c r="E1865" s="60" t="n"/>
      <c r="F1865" s="61" t="n"/>
    </row>
    <row r="1866">
      <c r="A1866" s="60" t="n"/>
      <c r="B1866" s="65">
        <f>IF(A1866="","",IFERROR(INDEX(Bestand!$B$14:$B$213,MATCH(A1866,Bestand!$A$14:$A$213,0)),"ID unbekannt"))</f>
        <v/>
      </c>
      <c r="C1866" s="63" t="n"/>
      <c r="D1866" s="61" t="n"/>
      <c r="E1866" s="60" t="n"/>
      <c r="F1866" s="61" t="n"/>
    </row>
    <row r="1867">
      <c r="A1867" s="60" t="n"/>
      <c r="B1867" s="65">
        <f>IF(A1867="","",IFERROR(INDEX(Bestand!$B$14:$B$213,MATCH(A1867,Bestand!$A$14:$A$213,0)),"ID unbekannt"))</f>
        <v/>
      </c>
      <c r="C1867" s="63" t="n"/>
      <c r="D1867" s="61" t="n"/>
      <c r="E1867" s="60" t="n"/>
      <c r="F1867" s="61" t="n"/>
    </row>
    <row r="1868">
      <c r="A1868" s="60" t="n"/>
      <c r="B1868" s="65">
        <f>IF(A1868="","",IFERROR(INDEX(Bestand!$B$14:$B$213,MATCH(A1868,Bestand!$A$14:$A$213,0)),"ID unbekannt"))</f>
        <v/>
      </c>
      <c r="C1868" s="63" t="n"/>
      <c r="D1868" s="61" t="n"/>
      <c r="E1868" s="60" t="n"/>
      <c r="F1868" s="61" t="n"/>
    </row>
    <row r="1869">
      <c r="A1869" s="60" t="n"/>
      <c r="B1869" s="65">
        <f>IF(A1869="","",IFERROR(INDEX(Bestand!$B$14:$B$213,MATCH(A1869,Bestand!$A$14:$A$213,0)),"ID unbekannt"))</f>
        <v/>
      </c>
      <c r="C1869" s="63" t="n"/>
      <c r="D1869" s="61" t="n"/>
      <c r="E1869" s="60" t="n"/>
      <c r="F1869" s="61" t="n"/>
    </row>
    <row r="1870">
      <c r="A1870" s="60" t="n"/>
      <c r="B1870" s="65">
        <f>IF(A1870="","",IFERROR(INDEX(Bestand!$B$14:$B$213,MATCH(A1870,Bestand!$A$14:$A$213,0)),"ID unbekannt"))</f>
        <v/>
      </c>
      <c r="C1870" s="63" t="n"/>
      <c r="D1870" s="61" t="n"/>
      <c r="E1870" s="60" t="n"/>
      <c r="F1870" s="61" t="n"/>
    </row>
    <row r="1871">
      <c r="A1871" s="60" t="n"/>
      <c r="B1871" s="65">
        <f>IF(A1871="","",IFERROR(INDEX(Bestand!$B$14:$B$213,MATCH(A1871,Bestand!$A$14:$A$213,0)),"ID unbekannt"))</f>
        <v/>
      </c>
      <c r="C1871" s="63" t="n"/>
      <c r="D1871" s="61" t="n"/>
      <c r="E1871" s="60" t="n"/>
      <c r="F1871" s="61" t="n"/>
    </row>
    <row r="1872">
      <c r="A1872" s="60" t="n"/>
      <c r="B1872" s="65">
        <f>IF(A1872="","",IFERROR(INDEX(Bestand!$B$14:$B$213,MATCH(A1872,Bestand!$A$14:$A$213,0)),"ID unbekannt"))</f>
        <v/>
      </c>
      <c r="C1872" s="63" t="n"/>
      <c r="D1872" s="61" t="n"/>
      <c r="E1872" s="60" t="n"/>
      <c r="F1872" s="61" t="n"/>
    </row>
    <row r="1873">
      <c r="A1873" s="60" t="n"/>
      <c r="B1873" s="65">
        <f>IF(A1873="","",IFERROR(INDEX(Bestand!$B$14:$B$213,MATCH(A1873,Bestand!$A$14:$A$213,0)),"ID unbekannt"))</f>
        <v/>
      </c>
      <c r="C1873" s="63" t="n"/>
      <c r="D1873" s="61" t="n"/>
      <c r="E1873" s="60" t="n"/>
      <c r="F1873" s="61" t="n"/>
    </row>
    <row r="1874">
      <c r="A1874" s="60" t="n"/>
      <c r="B1874" s="65">
        <f>IF(A1874="","",IFERROR(INDEX(Bestand!$B$14:$B$213,MATCH(A1874,Bestand!$A$14:$A$213,0)),"ID unbekannt"))</f>
        <v/>
      </c>
      <c r="C1874" s="63" t="n"/>
      <c r="D1874" s="61" t="n"/>
      <c r="E1874" s="60" t="n"/>
      <c r="F1874" s="61" t="n"/>
    </row>
    <row r="1875">
      <c r="A1875" s="60" t="n"/>
      <c r="B1875" s="65">
        <f>IF(A1875="","",IFERROR(INDEX(Bestand!$B$14:$B$213,MATCH(A1875,Bestand!$A$14:$A$213,0)),"ID unbekannt"))</f>
        <v/>
      </c>
      <c r="C1875" s="63" t="n"/>
      <c r="D1875" s="61" t="n"/>
      <c r="E1875" s="60" t="n"/>
      <c r="F1875" s="61" t="n"/>
    </row>
    <row r="1876">
      <c r="A1876" s="60" t="n"/>
      <c r="B1876" s="65">
        <f>IF(A1876="","",IFERROR(INDEX(Bestand!$B$14:$B$213,MATCH(A1876,Bestand!$A$14:$A$213,0)),"ID unbekannt"))</f>
        <v/>
      </c>
      <c r="C1876" s="63" t="n"/>
      <c r="D1876" s="61" t="n"/>
      <c r="E1876" s="60" t="n"/>
      <c r="F1876" s="61" t="n"/>
    </row>
    <row r="1877">
      <c r="A1877" s="60" t="n"/>
      <c r="B1877" s="65">
        <f>IF(A1877="","",IFERROR(INDEX(Bestand!$B$14:$B$213,MATCH(A1877,Bestand!$A$14:$A$213,0)),"ID unbekannt"))</f>
        <v/>
      </c>
      <c r="C1877" s="63" t="n"/>
      <c r="D1877" s="61" t="n"/>
      <c r="E1877" s="60" t="n"/>
      <c r="F1877" s="61" t="n"/>
    </row>
    <row r="1878">
      <c r="A1878" s="60" t="n"/>
      <c r="B1878" s="65">
        <f>IF(A1878="","",IFERROR(INDEX(Bestand!$B$14:$B$213,MATCH(A1878,Bestand!$A$14:$A$213,0)),"ID unbekannt"))</f>
        <v/>
      </c>
      <c r="C1878" s="63" t="n"/>
      <c r="D1878" s="61" t="n"/>
      <c r="E1878" s="60" t="n"/>
      <c r="F1878" s="61" t="n"/>
    </row>
    <row r="1879">
      <c r="A1879" s="60" t="n"/>
      <c r="B1879" s="65">
        <f>IF(A1879="","",IFERROR(INDEX(Bestand!$B$14:$B$213,MATCH(A1879,Bestand!$A$14:$A$213,0)),"ID unbekannt"))</f>
        <v/>
      </c>
      <c r="C1879" s="63" t="n"/>
      <c r="D1879" s="61" t="n"/>
      <c r="E1879" s="60" t="n"/>
      <c r="F1879" s="61" t="n"/>
    </row>
    <row r="1880">
      <c r="A1880" s="60" t="n"/>
      <c r="B1880" s="65">
        <f>IF(A1880="","",IFERROR(INDEX(Bestand!$B$14:$B$213,MATCH(A1880,Bestand!$A$14:$A$213,0)),"ID unbekannt"))</f>
        <v/>
      </c>
      <c r="C1880" s="63" t="n"/>
      <c r="D1880" s="61" t="n"/>
      <c r="E1880" s="60" t="n"/>
      <c r="F1880" s="61" t="n"/>
    </row>
    <row r="1881">
      <c r="A1881" s="60" t="n"/>
      <c r="B1881" s="65">
        <f>IF(A1881="","",IFERROR(INDEX(Bestand!$B$14:$B$213,MATCH(A1881,Bestand!$A$14:$A$213,0)),"ID unbekannt"))</f>
        <v/>
      </c>
      <c r="C1881" s="63" t="n"/>
      <c r="D1881" s="61" t="n"/>
      <c r="E1881" s="60" t="n"/>
      <c r="F1881" s="61" t="n"/>
    </row>
    <row r="1882">
      <c r="A1882" s="60" t="n"/>
      <c r="B1882" s="65">
        <f>IF(A1882="","",IFERROR(INDEX(Bestand!$B$14:$B$213,MATCH(A1882,Bestand!$A$14:$A$213,0)),"ID unbekannt"))</f>
        <v/>
      </c>
      <c r="C1882" s="63" t="n"/>
      <c r="D1882" s="61" t="n"/>
      <c r="E1882" s="60" t="n"/>
      <c r="F1882" s="61" t="n"/>
    </row>
    <row r="1883">
      <c r="A1883" s="60" t="n"/>
      <c r="B1883" s="65">
        <f>IF(A1883="","",IFERROR(INDEX(Bestand!$B$14:$B$213,MATCH(A1883,Bestand!$A$14:$A$213,0)),"ID unbekannt"))</f>
        <v/>
      </c>
      <c r="C1883" s="63" t="n"/>
      <c r="D1883" s="61" t="n"/>
      <c r="E1883" s="60" t="n"/>
      <c r="F1883" s="61" t="n"/>
    </row>
    <row r="1884">
      <c r="A1884" s="60" t="n"/>
      <c r="B1884" s="65">
        <f>IF(A1884="","",IFERROR(INDEX(Bestand!$B$14:$B$213,MATCH(A1884,Bestand!$A$14:$A$213,0)),"ID unbekannt"))</f>
        <v/>
      </c>
      <c r="C1884" s="63" t="n"/>
      <c r="D1884" s="61" t="n"/>
      <c r="E1884" s="60" t="n"/>
      <c r="F1884" s="61" t="n"/>
    </row>
    <row r="1885">
      <c r="A1885" s="60" t="n"/>
      <c r="B1885" s="65">
        <f>IF(A1885="","",IFERROR(INDEX(Bestand!$B$14:$B$213,MATCH(A1885,Bestand!$A$14:$A$213,0)),"ID unbekannt"))</f>
        <v/>
      </c>
      <c r="C1885" s="63" t="n"/>
      <c r="D1885" s="61" t="n"/>
      <c r="E1885" s="60" t="n"/>
      <c r="F1885" s="61" t="n"/>
    </row>
    <row r="1886">
      <c r="A1886" s="60" t="n"/>
      <c r="B1886" s="65">
        <f>IF(A1886="","",IFERROR(INDEX(Bestand!$B$14:$B$213,MATCH(A1886,Bestand!$A$14:$A$213,0)),"ID unbekannt"))</f>
        <v/>
      </c>
      <c r="C1886" s="63" t="n"/>
      <c r="D1886" s="61" t="n"/>
      <c r="E1886" s="60" t="n"/>
      <c r="F1886" s="61" t="n"/>
    </row>
    <row r="1887">
      <c r="A1887" s="60" t="n"/>
      <c r="B1887" s="65">
        <f>IF(A1887="","",IFERROR(INDEX(Bestand!$B$14:$B$213,MATCH(A1887,Bestand!$A$14:$A$213,0)),"ID unbekannt"))</f>
        <v/>
      </c>
      <c r="C1887" s="63" t="n"/>
      <c r="D1887" s="61" t="n"/>
      <c r="E1887" s="60" t="n"/>
      <c r="F1887" s="61" t="n"/>
    </row>
    <row r="1888">
      <c r="A1888" s="60" t="n"/>
      <c r="B1888" s="65">
        <f>IF(A1888="","",IFERROR(INDEX(Bestand!$B$14:$B$213,MATCH(A1888,Bestand!$A$14:$A$213,0)),"ID unbekannt"))</f>
        <v/>
      </c>
      <c r="C1888" s="63" t="n"/>
      <c r="D1888" s="61" t="n"/>
      <c r="E1888" s="60" t="n"/>
      <c r="F1888" s="61" t="n"/>
    </row>
    <row r="1889">
      <c r="A1889" s="60" t="n"/>
      <c r="B1889" s="65">
        <f>IF(A1889="","",IFERROR(INDEX(Bestand!$B$14:$B$213,MATCH(A1889,Bestand!$A$14:$A$213,0)),"ID unbekannt"))</f>
        <v/>
      </c>
      <c r="C1889" s="63" t="n"/>
      <c r="D1889" s="61" t="n"/>
      <c r="E1889" s="60" t="n"/>
      <c r="F1889" s="61" t="n"/>
    </row>
    <row r="1890">
      <c r="A1890" s="60" t="n"/>
      <c r="B1890" s="65">
        <f>IF(A1890="","",IFERROR(INDEX(Bestand!$B$14:$B$213,MATCH(A1890,Bestand!$A$14:$A$213,0)),"ID unbekannt"))</f>
        <v/>
      </c>
      <c r="C1890" s="63" t="n"/>
      <c r="D1890" s="61" t="n"/>
      <c r="E1890" s="60" t="n"/>
      <c r="F1890" s="61" t="n"/>
    </row>
    <row r="1891">
      <c r="A1891" s="60" t="n"/>
      <c r="B1891" s="65">
        <f>IF(A1891="","",IFERROR(INDEX(Bestand!$B$14:$B$213,MATCH(A1891,Bestand!$A$14:$A$213,0)),"ID unbekannt"))</f>
        <v/>
      </c>
      <c r="C1891" s="63" t="n"/>
      <c r="D1891" s="61" t="n"/>
      <c r="E1891" s="60" t="n"/>
      <c r="F1891" s="61" t="n"/>
    </row>
    <row r="1892">
      <c r="A1892" s="60" t="n"/>
      <c r="B1892" s="65">
        <f>IF(A1892="","",IFERROR(INDEX(Bestand!$B$14:$B$213,MATCH(A1892,Bestand!$A$14:$A$213,0)),"ID unbekannt"))</f>
        <v/>
      </c>
      <c r="C1892" s="63" t="n"/>
      <c r="D1892" s="61" t="n"/>
      <c r="E1892" s="60" t="n"/>
      <c r="F1892" s="61" t="n"/>
    </row>
    <row r="1893">
      <c r="A1893" s="60" t="n"/>
      <c r="B1893" s="65">
        <f>IF(A1893="","",IFERROR(INDEX(Bestand!$B$14:$B$213,MATCH(A1893,Bestand!$A$14:$A$213,0)),"ID unbekannt"))</f>
        <v/>
      </c>
      <c r="C1893" s="63" t="n"/>
      <c r="D1893" s="61" t="n"/>
      <c r="E1893" s="60" t="n"/>
      <c r="F1893" s="61" t="n"/>
    </row>
    <row r="1894">
      <c r="A1894" s="60" t="n"/>
      <c r="B1894" s="65">
        <f>IF(A1894="","",IFERROR(INDEX(Bestand!$B$14:$B$213,MATCH(A1894,Bestand!$A$14:$A$213,0)),"ID unbekannt"))</f>
        <v/>
      </c>
      <c r="C1894" s="63" t="n"/>
      <c r="D1894" s="61" t="n"/>
      <c r="E1894" s="60" t="n"/>
      <c r="F1894" s="61" t="n"/>
    </row>
    <row r="1895">
      <c r="A1895" s="60" t="n"/>
      <c r="B1895" s="65">
        <f>IF(A1895="","",IFERROR(INDEX(Bestand!$B$14:$B$213,MATCH(A1895,Bestand!$A$14:$A$213,0)),"ID unbekannt"))</f>
        <v/>
      </c>
      <c r="C1895" s="63" t="n"/>
      <c r="D1895" s="61" t="n"/>
      <c r="E1895" s="60" t="n"/>
      <c r="F1895" s="61" t="n"/>
    </row>
    <row r="1896">
      <c r="A1896" s="60" t="n"/>
      <c r="B1896" s="65">
        <f>IF(A1896="","",IFERROR(INDEX(Bestand!$B$14:$B$213,MATCH(A1896,Bestand!$A$14:$A$213,0)),"ID unbekannt"))</f>
        <v/>
      </c>
      <c r="C1896" s="63" t="n"/>
      <c r="D1896" s="61" t="n"/>
      <c r="E1896" s="60" t="n"/>
      <c r="F1896" s="61" t="n"/>
    </row>
    <row r="1897">
      <c r="A1897" s="60" t="n"/>
      <c r="B1897" s="65">
        <f>IF(A1897="","",IFERROR(INDEX(Bestand!$B$14:$B$213,MATCH(A1897,Bestand!$A$14:$A$213,0)),"ID unbekannt"))</f>
        <v/>
      </c>
      <c r="C1897" s="63" t="n"/>
      <c r="D1897" s="61" t="n"/>
      <c r="E1897" s="60" t="n"/>
      <c r="F1897" s="61" t="n"/>
    </row>
    <row r="1898">
      <c r="A1898" s="60" t="n"/>
      <c r="B1898" s="65">
        <f>IF(A1898="","",IFERROR(INDEX(Bestand!$B$14:$B$213,MATCH(A1898,Bestand!$A$14:$A$213,0)),"ID unbekannt"))</f>
        <v/>
      </c>
      <c r="C1898" s="63" t="n"/>
      <c r="D1898" s="61" t="n"/>
      <c r="E1898" s="60" t="n"/>
      <c r="F1898" s="61" t="n"/>
    </row>
    <row r="1899">
      <c r="A1899" s="60" t="n"/>
      <c r="B1899" s="65">
        <f>IF(A1899="","",IFERROR(INDEX(Bestand!$B$14:$B$213,MATCH(A1899,Bestand!$A$14:$A$213,0)),"ID unbekannt"))</f>
        <v/>
      </c>
      <c r="C1899" s="63" t="n"/>
      <c r="D1899" s="61" t="n"/>
      <c r="E1899" s="60" t="n"/>
      <c r="F1899" s="61" t="n"/>
    </row>
    <row r="1900">
      <c r="A1900" s="60" t="n"/>
      <c r="B1900" s="65">
        <f>IF(A1900="","",IFERROR(INDEX(Bestand!$B$14:$B$213,MATCH(A1900,Bestand!$A$14:$A$213,0)),"ID unbekannt"))</f>
        <v/>
      </c>
      <c r="C1900" s="63" t="n"/>
      <c r="D1900" s="61" t="n"/>
      <c r="E1900" s="60" t="n"/>
      <c r="F1900" s="61" t="n"/>
    </row>
    <row r="1901">
      <c r="A1901" s="60" t="n"/>
      <c r="B1901" s="65">
        <f>IF(A1901="","",IFERROR(INDEX(Bestand!$B$14:$B$213,MATCH(A1901,Bestand!$A$14:$A$213,0)),"ID unbekannt"))</f>
        <v/>
      </c>
      <c r="C1901" s="63" t="n"/>
      <c r="D1901" s="61" t="n"/>
      <c r="E1901" s="60" t="n"/>
      <c r="F1901" s="61" t="n"/>
    </row>
    <row r="1902">
      <c r="A1902" s="60" t="n"/>
      <c r="B1902" s="65">
        <f>IF(A1902="","",IFERROR(INDEX(Bestand!$B$14:$B$213,MATCH(A1902,Bestand!$A$14:$A$213,0)),"ID unbekannt"))</f>
        <v/>
      </c>
      <c r="C1902" s="63" t="n"/>
      <c r="D1902" s="61" t="n"/>
      <c r="E1902" s="60" t="n"/>
      <c r="F1902" s="61" t="n"/>
    </row>
    <row r="1903">
      <c r="A1903" s="60" t="n"/>
      <c r="B1903" s="65">
        <f>IF(A1903="","",IFERROR(INDEX(Bestand!$B$14:$B$213,MATCH(A1903,Bestand!$A$14:$A$213,0)),"ID unbekannt"))</f>
        <v/>
      </c>
      <c r="C1903" s="63" t="n"/>
      <c r="D1903" s="61" t="n"/>
      <c r="E1903" s="60" t="n"/>
      <c r="F1903" s="61" t="n"/>
    </row>
    <row r="1904">
      <c r="A1904" s="60" t="n"/>
      <c r="B1904" s="65">
        <f>IF(A1904="","",IFERROR(INDEX(Bestand!$B$14:$B$213,MATCH(A1904,Bestand!$A$14:$A$213,0)),"ID unbekannt"))</f>
        <v/>
      </c>
      <c r="C1904" s="63" t="n"/>
      <c r="D1904" s="61" t="n"/>
      <c r="E1904" s="60" t="n"/>
      <c r="F1904" s="61" t="n"/>
    </row>
    <row r="1905">
      <c r="A1905" s="60" t="n"/>
      <c r="B1905" s="65">
        <f>IF(A1905="","",IFERROR(INDEX(Bestand!$B$14:$B$213,MATCH(A1905,Bestand!$A$14:$A$213,0)),"ID unbekannt"))</f>
        <v/>
      </c>
      <c r="C1905" s="63" t="n"/>
      <c r="D1905" s="61" t="n"/>
      <c r="E1905" s="60" t="n"/>
      <c r="F1905" s="61" t="n"/>
    </row>
    <row r="1906">
      <c r="A1906" s="60" t="n"/>
      <c r="B1906" s="65">
        <f>IF(A1906="","",IFERROR(INDEX(Bestand!$B$14:$B$213,MATCH(A1906,Bestand!$A$14:$A$213,0)),"ID unbekannt"))</f>
        <v/>
      </c>
      <c r="C1906" s="63" t="n"/>
      <c r="D1906" s="61" t="n"/>
      <c r="E1906" s="60" t="n"/>
      <c r="F1906" s="61" t="n"/>
    </row>
    <row r="1907">
      <c r="A1907" s="60" t="n"/>
      <c r="B1907" s="65">
        <f>IF(A1907="","",IFERROR(INDEX(Bestand!$B$14:$B$213,MATCH(A1907,Bestand!$A$14:$A$213,0)),"ID unbekannt"))</f>
        <v/>
      </c>
      <c r="C1907" s="63" t="n"/>
      <c r="D1907" s="61" t="n"/>
      <c r="E1907" s="60" t="n"/>
      <c r="F1907" s="61" t="n"/>
    </row>
    <row r="1908">
      <c r="A1908" s="60" t="n"/>
      <c r="B1908" s="65">
        <f>IF(A1908="","",IFERROR(INDEX(Bestand!$B$14:$B$213,MATCH(A1908,Bestand!$A$14:$A$213,0)),"ID unbekannt"))</f>
        <v/>
      </c>
      <c r="C1908" s="63" t="n"/>
      <c r="D1908" s="61" t="n"/>
      <c r="E1908" s="60" t="n"/>
      <c r="F1908" s="61" t="n"/>
    </row>
    <row r="1909">
      <c r="A1909" s="60" t="n"/>
      <c r="B1909" s="65">
        <f>IF(A1909="","",IFERROR(INDEX(Bestand!$B$14:$B$213,MATCH(A1909,Bestand!$A$14:$A$213,0)),"ID unbekannt"))</f>
        <v/>
      </c>
      <c r="C1909" s="63" t="n"/>
      <c r="D1909" s="61" t="n"/>
      <c r="E1909" s="60" t="n"/>
      <c r="F1909" s="61" t="n"/>
    </row>
    <row r="1910">
      <c r="A1910" s="60" t="n"/>
      <c r="B1910" s="65">
        <f>IF(A1910="","",IFERROR(INDEX(Bestand!$B$14:$B$213,MATCH(A1910,Bestand!$A$14:$A$213,0)),"ID unbekannt"))</f>
        <v/>
      </c>
      <c r="C1910" s="63" t="n"/>
      <c r="D1910" s="61" t="n"/>
      <c r="E1910" s="60" t="n"/>
      <c r="F1910" s="61" t="n"/>
    </row>
    <row r="1911">
      <c r="A1911" s="60" t="n"/>
      <c r="B1911" s="65">
        <f>IF(A1911="","",IFERROR(INDEX(Bestand!$B$14:$B$213,MATCH(A1911,Bestand!$A$14:$A$213,0)),"ID unbekannt"))</f>
        <v/>
      </c>
      <c r="C1911" s="63" t="n"/>
      <c r="D1911" s="61" t="n"/>
      <c r="E1911" s="60" t="n"/>
      <c r="F1911" s="61" t="n"/>
    </row>
    <row r="1912">
      <c r="A1912" s="60" t="n"/>
      <c r="B1912" s="65">
        <f>IF(A1912="","",IFERROR(INDEX(Bestand!$B$14:$B$213,MATCH(A1912,Bestand!$A$14:$A$213,0)),"ID unbekannt"))</f>
        <v/>
      </c>
      <c r="C1912" s="63" t="n"/>
      <c r="D1912" s="61" t="n"/>
      <c r="E1912" s="60" t="n"/>
      <c r="F1912" s="61" t="n"/>
    </row>
    <row r="1913">
      <c r="A1913" s="60" t="n"/>
      <c r="B1913" s="65">
        <f>IF(A1913="","",IFERROR(INDEX(Bestand!$B$14:$B$213,MATCH(A1913,Bestand!$A$14:$A$213,0)),"ID unbekannt"))</f>
        <v/>
      </c>
      <c r="C1913" s="63" t="n"/>
      <c r="D1913" s="61" t="n"/>
      <c r="E1913" s="60" t="n"/>
      <c r="F1913" s="61" t="n"/>
    </row>
    <row r="1914">
      <c r="A1914" s="60" t="n"/>
      <c r="B1914" s="65">
        <f>IF(A1914="","",IFERROR(INDEX(Bestand!$B$14:$B$213,MATCH(A1914,Bestand!$A$14:$A$213,0)),"ID unbekannt"))</f>
        <v/>
      </c>
      <c r="C1914" s="63" t="n"/>
      <c r="D1914" s="61" t="n"/>
      <c r="E1914" s="60" t="n"/>
      <c r="F1914" s="61" t="n"/>
    </row>
    <row r="1915">
      <c r="A1915" s="60" t="n"/>
      <c r="B1915" s="65">
        <f>IF(A1915="","",IFERROR(INDEX(Bestand!$B$14:$B$213,MATCH(A1915,Bestand!$A$14:$A$213,0)),"ID unbekannt"))</f>
        <v/>
      </c>
      <c r="C1915" s="63" t="n"/>
      <c r="D1915" s="61" t="n"/>
      <c r="E1915" s="60" t="n"/>
      <c r="F1915" s="61" t="n"/>
    </row>
    <row r="1916">
      <c r="A1916" s="60" t="n"/>
      <c r="B1916" s="65">
        <f>IF(A1916="","",IFERROR(INDEX(Bestand!$B$14:$B$213,MATCH(A1916,Bestand!$A$14:$A$213,0)),"ID unbekannt"))</f>
        <v/>
      </c>
      <c r="C1916" s="63" t="n"/>
      <c r="D1916" s="61" t="n"/>
      <c r="E1916" s="60" t="n"/>
      <c r="F1916" s="61" t="n"/>
    </row>
    <row r="1917">
      <c r="A1917" s="60" t="n"/>
      <c r="B1917" s="65">
        <f>IF(A1917="","",IFERROR(INDEX(Bestand!$B$14:$B$213,MATCH(A1917,Bestand!$A$14:$A$213,0)),"ID unbekannt"))</f>
        <v/>
      </c>
      <c r="C1917" s="63" t="n"/>
      <c r="D1917" s="61" t="n"/>
      <c r="E1917" s="60" t="n"/>
      <c r="F1917" s="61" t="n"/>
    </row>
    <row r="1918">
      <c r="A1918" s="60" t="n"/>
      <c r="B1918" s="65">
        <f>IF(A1918="","",IFERROR(INDEX(Bestand!$B$14:$B$213,MATCH(A1918,Bestand!$A$14:$A$213,0)),"ID unbekannt"))</f>
        <v/>
      </c>
      <c r="C1918" s="63" t="n"/>
      <c r="D1918" s="61" t="n"/>
      <c r="E1918" s="60" t="n"/>
      <c r="F1918" s="61" t="n"/>
    </row>
    <row r="1919">
      <c r="A1919" s="60" t="n"/>
      <c r="B1919" s="65">
        <f>IF(A1919="","",IFERROR(INDEX(Bestand!$B$14:$B$213,MATCH(A1919,Bestand!$A$14:$A$213,0)),"ID unbekannt"))</f>
        <v/>
      </c>
      <c r="C1919" s="63" t="n"/>
      <c r="D1919" s="61" t="n"/>
      <c r="E1919" s="60" t="n"/>
      <c r="F1919" s="61" t="n"/>
    </row>
    <row r="1920">
      <c r="A1920" s="60" t="n"/>
      <c r="B1920" s="65">
        <f>IF(A1920="","",IFERROR(INDEX(Bestand!$B$14:$B$213,MATCH(A1920,Bestand!$A$14:$A$213,0)),"ID unbekannt"))</f>
        <v/>
      </c>
      <c r="C1920" s="63" t="n"/>
      <c r="D1920" s="61" t="n"/>
      <c r="E1920" s="60" t="n"/>
      <c r="F1920" s="61" t="n"/>
    </row>
    <row r="1921">
      <c r="A1921" s="60" t="n"/>
      <c r="B1921" s="65">
        <f>IF(A1921="","",IFERROR(INDEX(Bestand!$B$14:$B$213,MATCH(A1921,Bestand!$A$14:$A$213,0)),"ID unbekannt"))</f>
        <v/>
      </c>
      <c r="C1921" s="63" t="n"/>
      <c r="D1921" s="61" t="n"/>
      <c r="E1921" s="60" t="n"/>
      <c r="F1921" s="61" t="n"/>
    </row>
    <row r="1922">
      <c r="A1922" s="60" t="n"/>
      <c r="B1922" s="65">
        <f>IF(A1922="","",IFERROR(INDEX(Bestand!$B$14:$B$213,MATCH(A1922,Bestand!$A$14:$A$213,0)),"ID unbekannt"))</f>
        <v/>
      </c>
      <c r="C1922" s="63" t="n"/>
      <c r="D1922" s="61" t="n"/>
      <c r="E1922" s="60" t="n"/>
      <c r="F1922" s="61" t="n"/>
    </row>
    <row r="1923">
      <c r="A1923" s="60" t="n"/>
      <c r="B1923" s="65">
        <f>IF(A1923="","",IFERROR(INDEX(Bestand!$B$14:$B$213,MATCH(A1923,Bestand!$A$14:$A$213,0)),"ID unbekannt"))</f>
        <v/>
      </c>
      <c r="C1923" s="63" t="n"/>
      <c r="D1923" s="61" t="n"/>
      <c r="E1923" s="60" t="n"/>
      <c r="F1923" s="61" t="n"/>
    </row>
    <row r="1924">
      <c r="A1924" s="60" t="n"/>
      <c r="B1924" s="65">
        <f>IF(A1924="","",IFERROR(INDEX(Bestand!$B$14:$B$213,MATCH(A1924,Bestand!$A$14:$A$213,0)),"ID unbekannt"))</f>
        <v/>
      </c>
      <c r="C1924" s="63" t="n"/>
      <c r="D1924" s="61" t="n"/>
      <c r="E1924" s="60" t="n"/>
      <c r="F1924" s="61" t="n"/>
    </row>
    <row r="1925">
      <c r="A1925" s="60" t="n"/>
      <c r="B1925" s="65">
        <f>IF(A1925="","",IFERROR(INDEX(Bestand!$B$14:$B$213,MATCH(A1925,Bestand!$A$14:$A$213,0)),"ID unbekannt"))</f>
        <v/>
      </c>
      <c r="C1925" s="63" t="n"/>
      <c r="D1925" s="61" t="n"/>
      <c r="E1925" s="60" t="n"/>
      <c r="F1925" s="61" t="n"/>
    </row>
    <row r="1926">
      <c r="A1926" s="60" t="n"/>
      <c r="B1926" s="65">
        <f>IF(A1926="","",IFERROR(INDEX(Bestand!$B$14:$B$213,MATCH(A1926,Bestand!$A$14:$A$213,0)),"ID unbekannt"))</f>
        <v/>
      </c>
      <c r="C1926" s="63" t="n"/>
      <c r="D1926" s="61" t="n"/>
      <c r="E1926" s="60" t="n"/>
      <c r="F1926" s="61" t="n"/>
    </row>
    <row r="1927">
      <c r="A1927" s="60" t="n"/>
      <c r="B1927" s="65">
        <f>IF(A1927="","",IFERROR(INDEX(Bestand!$B$14:$B$213,MATCH(A1927,Bestand!$A$14:$A$213,0)),"ID unbekannt"))</f>
        <v/>
      </c>
      <c r="C1927" s="63" t="n"/>
      <c r="D1927" s="61" t="n"/>
      <c r="E1927" s="60" t="n"/>
      <c r="F1927" s="61" t="n"/>
    </row>
    <row r="1928">
      <c r="A1928" s="60" t="n"/>
      <c r="B1928" s="65">
        <f>IF(A1928="","",IFERROR(INDEX(Bestand!$B$14:$B$213,MATCH(A1928,Bestand!$A$14:$A$213,0)),"ID unbekannt"))</f>
        <v/>
      </c>
      <c r="C1928" s="63" t="n"/>
      <c r="D1928" s="61" t="n"/>
      <c r="E1928" s="60" t="n"/>
      <c r="F1928" s="61" t="n"/>
    </row>
    <row r="1929">
      <c r="A1929" s="60" t="n"/>
      <c r="B1929" s="65">
        <f>IF(A1929="","",IFERROR(INDEX(Bestand!$B$14:$B$213,MATCH(A1929,Bestand!$A$14:$A$213,0)),"ID unbekannt"))</f>
        <v/>
      </c>
      <c r="C1929" s="63" t="n"/>
      <c r="D1929" s="61" t="n"/>
      <c r="E1929" s="60" t="n"/>
      <c r="F1929" s="61" t="n"/>
    </row>
    <row r="1930">
      <c r="A1930" s="60" t="n"/>
      <c r="B1930" s="65">
        <f>IF(A1930="","",IFERROR(INDEX(Bestand!$B$14:$B$213,MATCH(A1930,Bestand!$A$14:$A$213,0)),"ID unbekannt"))</f>
        <v/>
      </c>
      <c r="C1930" s="63" t="n"/>
      <c r="D1930" s="61" t="n"/>
      <c r="E1930" s="60" t="n"/>
      <c r="F1930" s="61" t="n"/>
    </row>
    <row r="1931">
      <c r="A1931" s="60" t="n"/>
      <c r="B1931" s="65">
        <f>IF(A1931="","",IFERROR(INDEX(Bestand!$B$14:$B$213,MATCH(A1931,Bestand!$A$14:$A$213,0)),"ID unbekannt"))</f>
        <v/>
      </c>
      <c r="C1931" s="63" t="n"/>
      <c r="D1931" s="61" t="n"/>
      <c r="E1931" s="60" t="n"/>
      <c r="F1931" s="61" t="n"/>
    </row>
    <row r="1932">
      <c r="A1932" s="60" t="n"/>
      <c r="B1932" s="65">
        <f>IF(A1932="","",IFERROR(INDEX(Bestand!$B$14:$B$213,MATCH(A1932,Bestand!$A$14:$A$213,0)),"ID unbekannt"))</f>
        <v/>
      </c>
      <c r="C1932" s="63" t="n"/>
      <c r="D1932" s="61" t="n"/>
      <c r="E1932" s="60" t="n"/>
      <c r="F1932" s="61" t="n"/>
    </row>
    <row r="1933">
      <c r="A1933" s="60" t="n"/>
      <c r="B1933" s="65">
        <f>IF(A1933="","",IFERROR(INDEX(Bestand!$B$14:$B$213,MATCH(A1933,Bestand!$A$14:$A$213,0)),"ID unbekannt"))</f>
        <v/>
      </c>
      <c r="C1933" s="63" t="n"/>
      <c r="D1933" s="61" t="n"/>
      <c r="E1933" s="60" t="n"/>
      <c r="F1933" s="61" t="n"/>
    </row>
    <row r="1934">
      <c r="A1934" s="60" t="n"/>
      <c r="B1934" s="65">
        <f>IF(A1934="","",IFERROR(INDEX(Bestand!$B$14:$B$213,MATCH(A1934,Bestand!$A$14:$A$213,0)),"ID unbekannt"))</f>
        <v/>
      </c>
      <c r="C1934" s="63" t="n"/>
      <c r="D1934" s="61" t="n"/>
      <c r="E1934" s="60" t="n"/>
      <c r="F1934" s="61" t="n"/>
    </row>
    <row r="1935">
      <c r="A1935" s="60" t="n"/>
      <c r="B1935" s="65">
        <f>IF(A1935="","",IFERROR(INDEX(Bestand!$B$14:$B$213,MATCH(A1935,Bestand!$A$14:$A$213,0)),"ID unbekannt"))</f>
        <v/>
      </c>
      <c r="C1935" s="63" t="n"/>
      <c r="D1935" s="61" t="n"/>
      <c r="E1935" s="60" t="n"/>
      <c r="F1935" s="61" t="n"/>
    </row>
    <row r="1936">
      <c r="A1936" s="60" t="n"/>
      <c r="B1936" s="65">
        <f>IF(A1936="","",IFERROR(INDEX(Bestand!$B$14:$B$213,MATCH(A1936,Bestand!$A$14:$A$213,0)),"ID unbekannt"))</f>
        <v/>
      </c>
      <c r="C1936" s="63" t="n"/>
      <c r="D1936" s="61" t="n"/>
      <c r="E1936" s="60" t="n"/>
      <c r="F1936" s="61" t="n"/>
    </row>
    <row r="1937">
      <c r="A1937" s="60" t="n"/>
      <c r="B1937" s="65">
        <f>IF(A1937="","",IFERROR(INDEX(Bestand!$B$14:$B$213,MATCH(A1937,Bestand!$A$14:$A$213,0)),"ID unbekannt"))</f>
        <v/>
      </c>
      <c r="C1937" s="63" t="n"/>
      <c r="D1937" s="61" t="n"/>
      <c r="E1937" s="60" t="n"/>
      <c r="F1937" s="61" t="n"/>
    </row>
    <row r="1938">
      <c r="A1938" s="60" t="n"/>
      <c r="B1938" s="65">
        <f>IF(A1938="","",IFERROR(INDEX(Bestand!$B$14:$B$213,MATCH(A1938,Bestand!$A$14:$A$213,0)),"ID unbekannt"))</f>
        <v/>
      </c>
      <c r="C1938" s="63" t="n"/>
      <c r="D1938" s="61" t="n"/>
      <c r="E1938" s="60" t="n"/>
      <c r="F1938" s="61" t="n"/>
    </row>
    <row r="1939">
      <c r="A1939" s="60" t="n"/>
      <c r="B1939" s="65">
        <f>IF(A1939="","",IFERROR(INDEX(Bestand!$B$14:$B$213,MATCH(A1939,Bestand!$A$14:$A$213,0)),"ID unbekannt"))</f>
        <v/>
      </c>
      <c r="C1939" s="63" t="n"/>
      <c r="D1939" s="61" t="n"/>
      <c r="E1939" s="60" t="n"/>
      <c r="F1939" s="61" t="n"/>
    </row>
    <row r="1940">
      <c r="A1940" s="60" t="n"/>
      <c r="B1940" s="65">
        <f>IF(A1940="","",IFERROR(INDEX(Bestand!$B$14:$B$213,MATCH(A1940,Bestand!$A$14:$A$213,0)),"ID unbekannt"))</f>
        <v/>
      </c>
      <c r="C1940" s="63" t="n"/>
      <c r="D1940" s="61" t="n"/>
      <c r="E1940" s="60" t="n"/>
      <c r="F1940" s="61" t="n"/>
    </row>
    <row r="1941">
      <c r="A1941" s="60" t="n"/>
      <c r="B1941" s="65">
        <f>IF(A1941="","",IFERROR(INDEX(Bestand!$B$14:$B$213,MATCH(A1941,Bestand!$A$14:$A$213,0)),"ID unbekannt"))</f>
        <v/>
      </c>
      <c r="C1941" s="63" t="n"/>
      <c r="D1941" s="61" t="n"/>
      <c r="E1941" s="60" t="n"/>
      <c r="F1941" s="61" t="n"/>
    </row>
    <row r="1942">
      <c r="A1942" s="60" t="n"/>
      <c r="B1942" s="65">
        <f>IF(A1942="","",IFERROR(INDEX(Bestand!$B$14:$B$213,MATCH(A1942,Bestand!$A$14:$A$213,0)),"ID unbekannt"))</f>
        <v/>
      </c>
      <c r="C1942" s="63" t="n"/>
      <c r="D1942" s="61" t="n"/>
      <c r="E1942" s="60" t="n"/>
      <c r="F1942" s="61" t="n"/>
    </row>
    <row r="1943">
      <c r="A1943" s="60" t="n"/>
      <c r="B1943" s="65">
        <f>IF(A1943="","",IFERROR(INDEX(Bestand!$B$14:$B$213,MATCH(A1943,Bestand!$A$14:$A$213,0)),"ID unbekannt"))</f>
        <v/>
      </c>
      <c r="C1943" s="63" t="n"/>
      <c r="D1943" s="61" t="n"/>
      <c r="E1943" s="60" t="n"/>
      <c r="F1943" s="61" t="n"/>
    </row>
    <row r="1944">
      <c r="A1944" s="60" t="n"/>
      <c r="B1944" s="65">
        <f>IF(A1944="","",IFERROR(INDEX(Bestand!$B$14:$B$213,MATCH(A1944,Bestand!$A$14:$A$213,0)),"ID unbekannt"))</f>
        <v/>
      </c>
      <c r="C1944" s="63" t="n"/>
      <c r="D1944" s="61" t="n"/>
      <c r="E1944" s="60" t="n"/>
      <c r="F1944" s="61" t="n"/>
    </row>
    <row r="1945">
      <c r="A1945" s="60" t="n"/>
      <c r="B1945" s="65">
        <f>IF(A1945="","",IFERROR(INDEX(Bestand!$B$14:$B$213,MATCH(A1945,Bestand!$A$14:$A$213,0)),"ID unbekannt"))</f>
        <v/>
      </c>
      <c r="C1945" s="63" t="n"/>
      <c r="D1945" s="61" t="n"/>
      <c r="E1945" s="60" t="n"/>
      <c r="F1945" s="61" t="n"/>
    </row>
    <row r="1946">
      <c r="A1946" s="60" t="n"/>
      <c r="B1946" s="65">
        <f>IF(A1946="","",IFERROR(INDEX(Bestand!$B$14:$B$213,MATCH(A1946,Bestand!$A$14:$A$213,0)),"ID unbekannt"))</f>
        <v/>
      </c>
      <c r="C1946" s="63" t="n"/>
      <c r="D1946" s="61" t="n"/>
      <c r="E1946" s="60" t="n"/>
      <c r="F1946" s="61" t="n"/>
    </row>
    <row r="1947">
      <c r="A1947" s="60" t="n"/>
      <c r="B1947" s="65">
        <f>IF(A1947="","",IFERROR(INDEX(Bestand!$B$14:$B$213,MATCH(A1947,Bestand!$A$14:$A$213,0)),"ID unbekannt"))</f>
        <v/>
      </c>
      <c r="C1947" s="63" t="n"/>
      <c r="D1947" s="61" t="n"/>
      <c r="E1947" s="60" t="n"/>
      <c r="F1947" s="61" t="n"/>
    </row>
    <row r="1948">
      <c r="A1948" s="60" t="n"/>
      <c r="B1948" s="65">
        <f>IF(A1948="","",IFERROR(INDEX(Bestand!$B$14:$B$213,MATCH(A1948,Bestand!$A$14:$A$213,0)),"ID unbekannt"))</f>
        <v/>
      </c>
      <c r="C1948" s="63" t="n"/>
      <c r="D1948" s="61" t="n"/>
      <c r="E1948" s="60" t="n"/>
      <c r="F1948" s="61" t="n"/>
    </row>
    <row r="1949">
      <c r="A1949" s="60" t="n"/>
      <c r="B1949" s="65">
        <f>IF(A1949="","",IFERROR(INDEX(Bestand!$B$14:$B$213,MATCH(A1949,Bestand!$A$14:$A$213,0)),"ID unbekannt"))</f>
        <v/>
      </c>
      <c r="C1949" s="63" t="n"/>
      <c r="D1949" s="61" t="n"/>
      <c r="E1949" s="60" t="n"/>
      <c r="F1949" s="61" t="n"/>
    </row>
    <row r="1950">
      <c r="A1950" s="60" t="n"/>
      <c r="B1950" s="65">
        <f>IF(A1950="","",IFERROR(INDEX(Bestand!$B$14:$B$213,MATCH(A1950,Bestand!$A$14:$A$213,0)),"ID unbekannt"))</f>
        <v/>
      </c>
      <c r="C1950" s="63" t="n"/>
      <c r="D1950" s="61" t="n"/>
      <c r="E1950" s="60" t="n"/>
      <c r="F1950" s="61" t="n"/>
    </row>
    <row r="1951">
      <c r="A1951" s="60" t="n"/>
      <c r="B1951" s="65">
        <f>IF(A1951="","",IFERROR(INDEX(Bestand!$B$14:$B$213,MATCH(A1951,Bestand!$A$14:$A$213,0)),"ID unbekannt"))</f>
        <v/>
      </c>
      <c r="C1951" s="63" t="n"/>
      <c r="D1951" s="61" t="n"/>
      <c r="E1951" s="60" t="n"/>
      <c r="F1951" s="61" t="n"/>
    </row>
    <row r="1952">
      <c r="A1952" s="60" t="n"/>
      <c r="B1952" s="65">
        <f>IF(A1952="","",IFERROR(INDEX(Bestand!$B$14:$B$213,MATCH(A1952,Bestand!$A$14:$A$213,0)),"ID unbekannt"))</f>
        <v/>
      </c>
      <c r="C1952" s="63" t="n"/>
      <c r="D1952" s="61" t="n"/>
      <c r="E1952" s="60" t="n"/>
      <c r="F1952" s="61" t="n"/>
    </row>
    <row r="1953">
      <c r="A1953" s="60" t="n"/>
      <c r="B1953" s="65">
        <f>IF(A1953="","",IFERROR(INDEX(Bestand!$B$14:$B$213,MATCH(A1953,Bestand!$A$14:$A$213,0)),"ID unbekannt"))</f>
        <v/>
      </c>
      <c r="C1953" s="63" t="n"/>
      <c r="D1953" s="61" t="n"/>
      <c r="E1953" s="60" t="n"/>
      <c r="F1953" s="61" t="n"/>
    </row>
    <row r="1954">
      <c r="A1954" s="60" t="n"/>
      <c r="B1954" s="65">
        <f>IF(A1954="","",IFERROR(INDEX(Bestand!$B$14:$B$213,MATCH(A1954,Bestand!$A$14:$A$213,0)),"ID unbekannt"))</f>
        <v/>
      </c>
      <c r="C1954" s="63" t="n"/>
      <c r="D1954" s="61" t="n"/>
      <c r="E1954" s="60" t="n"/>
      <c r="F1954" s="61" t="n"/>
    </row>
    <row r="1955">
      <c r="A1955" s="60" t="n"/>
      <c r="B1955" s="65">
        <f>IF(A1955="","",IFERROR(INDEX(Bestand!$B$14:$B$213,MATCH(A1955,Bestand!$A$14:$A$213,0)),"ID unbekannt"))</f>
        <v/>
      </c>
      <c r="C1955" s="63" t="n"/>
      <c r="D1955" s="61" t="n"/>
      <c r="E1955" s="60" t="n"/>
      <c r="F1955" s="61" t="n"/>
    </row>
    <row r="1956">
      <c r="A1956" s="60" t="n"/>
      <c r="B1956" s="65">
        <f>IF(A1956="","",IFERROR(INDEX(Bestand!$B$14:$B$213,MATCH(A1956,Bestand!$A$14:$A$213,0)),"ID unbekannt"))</f>
        <v/>
      </c>
      <c r="C1956" s="63" t="n"/>
      <c r="D1956" s="61" t="n"/>
      <c r="E1956" s="60" t="n"/>
      <c r="F1956" s="61" t="n"/>
    </row>
    <row r="1957">
      <c r="A1957" s="60" t="n"/>
      <c r="B1957" s="65">
        <f>IF(A1957="","",IFERROR(INDEX(Bestand!$B$14:$B$213,MATCH(A1957,Bestand!$A$14:$A$213,0)),"ID unbekannt"))</f>
        <v/>
      </c>
      <c r="C1957" s="63" t="n"/>
      <c r="D1957" s="61" t="n"/>
      <c r="E1957" s="60" t="n"/>
      <c r="F1957" s="61" t="n"/>
    </row>
    <row r="1958">
      <c r="A1958" s="60" t="n"/>
      <c r="B1958" s="65">
        <f>IF(A1958="","",IFERROR(INDEX(Bestand!$B$14:$B$213,MATCH(A1958,Bestand!$A$14:$A$213,0)),"ID unbekannt"))</f>
        <v/>
      </c>
      <c r="C1958" s="63" t="n"/>
      <c r="D1958" s="61" t="n"/>
      <c r="E1958" s="60" t="n"/>
      <c r="F1958" s="61" t="n"/>
    </row>
    <row r="1959">
      <c r="A1959" s="60" t="n"/>
      <c r="B1959" s="65">
        <f>IF(A1959="","",IFERROR(INDEX(Bestand!$B$14:$B$213,MATCH(A1959,Bestand!$A$14:$A$213,0)),"ID unbekannt"))</f>
        <v/>
      </c>
      <c r="C1959" s="63" t="n"/>
      <c r="D1959" s="61" t="n"/>
      <c r="E1959" s="60" t="n"/>
      <c r="F1959" s="61" t="n"/>
    </row>
    <row r="1960">
      <c r="A1960" s="60" t="n"/>
      <c r="B1960" s="65">
        <f>IF(A1960="","",IFERROR(INDEX(Bestand!$B$14:$B$213,MATCH(A1960,Bestand!$A$14:$A$213,0)),"ID unbekannt"))</f>
        <v/>
      </c>
      <c r="C1960" s="63" t="n"/>
      <c r="D1960" s="61" t="n"/>
      <c r="E1960" s="60" t="n"/>
      <c r="F1960" s="61" t="n"/>
    </row>
    <row r="1961">
      <c r="A1961" s="60" t="n"/>
      <c r="B1961" s="65">
        <f>IF(A1961="","",IFERROR(INDEX(Bestand!$B$14:$B$213,MATCH(A1961,Bestand!$A$14:$A$213,0)),"ID unbekannt"))</f>
        <v/>
      </c>
      <c r="C1961" s="63" t="n"/>
      <c r="D1961" s="61" t="n"/>
      <c r="E1961" s="60" t="n"/>
      <c r="F1961" s="61" t="n"/>
    </row>
    <row r="1962">
      <c r="A1962" s="60" t="n"/>
      <c r="B1962" s="65">
        <f>IF(A1962="","",IFERROR(INDEX(Bestand!$B$14:$B$213,MATCH(A1962,Bestand!$A$14:$A$213,0)),"ID unbekannt"))</f>
        <v/>
      </c>
      <c r="C1962" s="63" t="n"/>
      <c r="D1962" s="61" t="n"/>
      <c r="E1962" s="60" t="n"/>
      <c r="F1962" s="61" t="n"/>
    </row>
    <row r="1963">
      <c r="A1963" s="60" t="n"/>
      <c r="B1963" s="65">
        <f>IF(A1963="","",IFERROR(INDEX(Bestand!$B$14:$B$213,MATCH(A1963,Bestand!$A$14:$A$213,0)),"ID unbekannt"))</f>
        <v/>
      </c>
      <c r="C1963" s="63" t="n"/>
      <c r="D1963" s="61" t="n"/>
      <c r="E1963" s="60" t="n"/>
      <c r="F1963" s="61" t="n"/>
    </row>
    <row r="1964">
      <c r="A1964" s="60" t="n"/>
      <c r="B1964" s="65">
        <f>IF(A1964="","",IFERROR(INDEX(Bestand!$B$14:$B$213,MATCH(A1964,Bestand!$A$14:$A$213,0)),"ID unbekannt"))</f>
        <v/>
      </c>
      <c r="C1964" s="63" t="n"/>
      <c r="D1964" s="61" t="n"/>
      <c r="E1964" s="60" t="n"/>
      <c r="F1964" s="61" t="n"/>
    </row>
    <row r="1965">
      <c r="A1965" s="60" t="n"/>
      <c r="B1965" s="65">
        <f>IF(A1965="","",IFERROR(INDEX(Bestand!$B$14:$B$213,MATCH(A1965,Bestand!$A$14:$A$213,0)),"ID unbekannt"))</f>
        <v/>
      </c>
      <c r="C1965" s="63" t="n"/>
      <c r="D1965" s="61" t="n"/>
      <c r="E1965" s="60" t="n"/>
      <c r="F1965" s="61" t="n"/>
    </row>
    <row r="1966">
      <c r="A1966" s="60" t="n"/>
      <c r="B1966" s="65">
        <f>IF(A1966="","",IFERROR(INDEX(Bestand!$B$14:$B$213,MATCH(A1966,Bestand!$A$14:$A$213,0)),"ID unbekannt"))</f>
        <v/>
      </c>
      <c r="C1966" s="63" t="n"/>
      <c r="D1966" s="61" t="n"/>
      <c r="E1966" s="60" t="n"/>
      <c r="F1966" s="61" t="n"/>
    </row>
    <row r="1967">
      <c r="A1967" s="60" t="n"/>
      <c r="B1967" s="65">
        <f>IF(A1967="","",IFERROR(INDEX(Bestand!$B$14:$B$213,MATCH(A1967,Bestand!$A$14:$A$213,0)),"ID unbekannt"))</f>
        <v/>
      </c>
      <c r="C1967" s="63" t="n"/>
      <c r="D1967" s="61" t="n"/>
      <c r="E1967" s="60" t="n"/>
      <c r="F1967" s="61" t="n"/>
    </row>
    <row r="1968">
      <c r="A1968" s="60" t="n"/>
      <c r="B1968" s="65">
        <f>IF(A1968="","",IFERROR(INDEX(Bestand!$B$14:$B$213,MATCH(A1968,Bestand!$A$14:$A$213,0)),"ID unbekannt"))</f>
        <v/>
      </c>
      <c r="C1968" s="63" t="n"/>
      <c r="D1968" s="61" t="n"/>
      <c r="E1968" s="60" t="n"/>
      <c r="F1968" s="61" t="n"/>
    </row>
    <row r="1969">
      <c r="A1969" s="60" t="n"/>
      <c r="B1969" s="65">
        <f>IF(A1969="","",IFERROR(INDEX(Bestand!$B$14:$B$213,MATCH(A1969,Bestand!$A$14:$A$213,0)),"ID unbekannt"))</f>
        <v/>
      </c>
      <c r="C1969" s="63" t="n"/>
      <c r="D1969" s="61" t="n"/>
      <c r="E1969" s="60" t="n"/>
      <c r="F1969" s="61" t="n"/>
    </row>
    <row r="1970">
      <c r="A1970" s="60" t="n"/>
      <c r="B1970" s="65">
        <f>IF(A1970="","",IFERROR(INDEX(Bestand!$B$14:$B$213,MATCH(A1970,Bestand!$A$14:$A$213,0)),"ID unbekannt"))</f>
        <v/>
      </c>
      <c r="C1970" s="63" t="n"/>
      <c r="D1970" s="61" t="n"/>
      <c r="E1970" s="60" t="n"/>
      <c r="F1970" s="61" t="n"/>
    </row>
    <row r="1971">
      <c r="A1971" s="60" t="n"/>
      <c r="B1971" s="65">
        <f>IF(A1971="","",IFERROR(INDEX(Bestand!$B$14:$B$213,MATCH(A1971,Bestand!$A$14:$A$213,0)),"ID unbekannt"))</f>
        <v/>
      </c>
      <c r="C1971" s="63" t="n"/>
      <c r="D1971" s="61" t="n"/>
      <c r="E1971" s="60" t="n"/>
      <c r="F1971" s="61" t="n"/>
    </row>
    <row r="1972">
      <c r="A1972" s="60" t="n"/>
      <c r="B1972" s="65">
        <f>IF(A1972="","",IFERROR(INDEX(Bestand!$B$14:$B$213,MATCH(A1972,Bestand!$A$14:$A$213,0)),"ID unbekannt"))</f>
        <v/>
      </c>
      <c r="C1972" s="63" t="n"/>
      <c r="D1972" s="61" t="n"/>
      <c r="E1972" s="60" t="n"/>
      <c r="F1972" s="61" t="n"/>
    </row>
    <row r="1973">
      <c r="A1973" s="60" t="n"/>
      <c r="B1973" s="65">
        <f>IF(A1973="","",IFERROR(INDEX(Bestand!$B$14:$B$213,MATCH(A1973,Bestand!$A$14:$A$213,0)),"ID unbekannt"))</f>
        <v/>
      </c>
      <c r="C1973" s="63" t="n"/>
      <c r="D1973" s="61" t="n"/>
      <c r="E1973" s="60" t="n"/>
      <c r="F1973" s="61" t="n"/>
    </row>
    <row r="1974">
      <c r="A1974" s="60" t="n"/>
      <c r="B1974" s="65">
        <f>IF(A1974="","",IFERROR(INDEX(Bestand!$B$14:$B$213,MATCH(A1974,Bestand!$A$14:$A$213,0)),"ID unbekannt"))</f>
        <v/>
      </c>
      <c r="C1974" s="63" t="n"/>
      <c r="D1974" s="61" t="n"/>
      <c r="E1974" s="60" t="n"/>
      <c r="F1974" s="61" t="n"/>
    </row>
    <row r="1975">
      <c r="A1975" s="60" t="n"/>
      <c r="B1975" s="65">
        <f>IF(A1975="","",IFERROR(INDEX(Bestand!$B$14:$B$213,MATCH(A1975,Bestand!$A$14:$A$213,0)),"ID unbekannt"))</f>
        <v/>
      </c>
      <c r="C1975" s="63" t="n"/>
      <c r="D1975" s="61" t="n"/>
      <c r="E1975" s="60" t="n"/>
      <c r="F1975" s="61" t="n"/>
    </row>
    <row r="1976">
      <c r="A1976" s="60" t="n"/>
      <c r="B1976" s="65">
        <f>IF(A1976="","",IFERROR(INDEX(Bestand!$B$14:$B$213,MATCH(A1976,Bestand!$A$14:$A$213,0)),"ID unbekannt"))</f>
        <v/>
      </c>
      <c r="C1976" s="63" t="n"/>
      <c r="D1976" s="61" t="n"/>
      <c r="E1976" s="60" t="n"/>
      <c r="F1976" s="61" t="n"/>
    </row>
    <row r="1977">
      <c r="A1977" s="60" t="n"/>
      <c r="B1977" s="65">
        <f>IF(A1977="","",IFERROR(INDEX(Bestand!$B$14:$B$213,MATCH(A1977,Bestand!$A$14:$A$213,0)),"ID unbekannt"))</f>
        <v/>
      </c>
      <c r="C1977" s="63" t="n"/>
      <c r="D1977" s="61" t="n"/>
      <c r="E1977" s="60" t="n"/>
      <c r="F1977" s="61" t="n"/>
    </row>
    <row r="1978">
      <c r="A1978" s="60" t="n"/>
      <c r="B1978" s="65">
        <f>IF(A1978="","",IFERROR(INDEX(Bestand!$B$14:$B$213,MATCH(A1978,Bestand!$A$14:$A$213,0)),"ID unbekannt"))</f>
        <v/>
      </c>
      <c r="C1978" s="63" t="n"/>
      <c r="D1978" s="61" t="n"/>
      <c r="E1978" s="60" t="n"/>
      <c r="F1978" s="61" t="n"/>
    </row>
    <row r="1979">
      <c r="A1979" s="60" t="n"/>
      <c r="B1979" s="65">
        <f>IF(A1979="","",IFERROR(INDEX(Bestand!$B$14:$B$213,MATCH(A1979,Bestand!$A$14:$A$213,0)),"ID unbekannt"))</f>
        <v/>
      </c>
      <c r="C1979" s="63" t="n"/>
      <c r="D1979" s="61" t="n"/>
      <c r="E1979" s="60" t="n"/>
      <c r="F1979" s="61" t="n"/>
    </row>
    <row r="1980">
      <c r="A1980" s="60" t="n"/>
      <c r="B1980" s="65">
        <f>IF(A1980="","",IFERROR(INDEX(Bestand!$B$14:$B$213,MATCH(A1980,Bestand!$A$14:$A$213,0)),"ID unbekannt"))</f>
        <v/>
      </c>
      <c r="C1980" s="63" t="n"/>
      <c r="D1980" s="61" t="n"/>
      <c r="E1980" s="60" t="n"/>
      <c r="F1980" s="61" t="n"/>
    </row>
    <row r="1981">
      <c r="A1981" s="60" t="n"/>
      <c r="B1981" s="65">
        <f>IF(A1981="","",IFERROR(INDEX(Bestand!$B$14:$B$213,MATCH(A1981,Bestand!$A$14:$A$213,0)),"ID unbekannt"))</f>
        <v/>
      </c>
      <c r="C1981" s="63" t="n"/>
      <c r="D1981" s="61" t="n"/>
      <c r="E1981" s="60" t="n"/>
      <c r="F1981" s="61" t="n"/>
    </row>
    <row r="1982">
      <c r="A1982" s="60" t="n"/>
      <c r="B1982" s="65">
        <f>IF(A1982="","",IFERROR(INDEX(Bestand!$B$14:$B$213,MATCH(A1982,Bestand!$A$14:$A$213,0)),"ID unbekannt"))</f>
        <v/>
      </c>
      <c r="C1982" s="63" t="n"/>
      <c r="D1982" s="61" t="n"/>
      <c r="E1982" s="60" t="n"/>
      <c r="F1982" s="61" t="n"/>
    </row>
    <row r="1983">
      <c r="A1983" s="60" t="n"/>
      <c r="B1983" s="65">
        <f>IF(A1983="","",IFERROR(INDEX(Bestand!$B$14:$B$213,MATCH(A1983,Bestand!$A$14:$A$213,0)),"ID unbekannt"))</f>
        <v/>
      </c>
      <c r="C1983" s="63" t="n"/>
      <c r="D1983" s="61" t="n"/>
      <c r="E1983" s="60" t="n"/>
      <c r="F1983" s="61" t="n"/>
    </row>
    <row r="1984">
      <c r="A1984" s="60" t="n"/>
      <c r="B1984" s="65">
        <f>IF(A1984="","",IFERROR(INDEX(Bestand!$B$14:$B$213,MATCH(A1984,Bestand!$A$14:$A$213,0)),"ID unbekannt"))</f>
        <v/>
      </c>
      <c r="C1984" s="63" t="n"/>
      <c r="D1984" s="61" t="n"/>
      <c r="E1984" s="60" t="n"/>
      <c r="F1984" s="61" t="n"/>
    </row>
    <row r="1985">
      <c r="A1985" s="60" t="n"/>
      <c r="B1985" s="65">
        <f>IF(A1985="","",IFERROR(INDEX(Bestand!$B$14:$B$213,MATCH(A1985,Bestand!$A$14:$A$213,0)),"ID unbekannt"))</f>
        <v/>
      </c>
      <c r="C1985" s="63" t="n"/>
      <c r="D1985" s="61" t="n"/>
      <c r="E1985" s="60" t="n"/>
      <c r="F1985" s="61" t="n"/>
    </row>
    <row r="1986">
      <c r="A1986" s="60" t="n"/>
      <c r="B1986" s="65">
        <f>IF(A1986="","",IFERROR(INDEX(Bestand!$B$14:$B$213,MATCH(A1986,Bestand!$A$14:$A$213,0)),"ID unbekannt"))</f>
        <v/>
      </c>
      <c r="C1986" s="63" t="n"/>
      <c r="D1986" s="61" t="n"/>
      <c r="E1986" s="60" t="n"/>
      <c r="F1986" s="61" t="n"/>
    </row>
    <row r="1987">
      <c r="A1987" s="60" t="n"/>
      <c r="B1987" s="65">
        <f>IF(A1987="","",IFERROR(INDEX(Bestand!$B$14:$B$213,MATCH(A1987,Bestand!$A$14:$A$213,0)),"ID unbekannt"))</f>
        <v/>
      </c>
      <c r="C1987" s="63" t="n"/>
      <c r="D1987" s="61" t="n"/>
      <c r="E1987" s="60" t="n"/>
      <c r="F1987" s="61" t="n"/>
    </row>
    <row r="1988">
      <c r="A1988" s="60" t="n"/>
      <c r="B1988" s="65">
        <f>IF(A1988="","",IFERROR(INDEX(Bestand!$B$14:$B$213,MATCH(A1988,Bestand!$A$14:$A$213,0)),"ID unbekannt"))</f>
        <v/>
      </c>
      <c r="C1988" s="63" t="n"/>
      <c r="D1988" s="61" t="n"/>
      <c r="E1988" s="60" t="n"/>
      <c r="F1988" s="61" t="n"/>
    </row>
    <row r="1989">
      <c r="A1989" s="60" t="n"/>
      <c r="B1989" s="65">
        <f>IF(A1989="","",IFERROR(INDEX(Bestand!$B$14:$B$213,MATCH(A1989,Bestand!$A$14:$A$213,0)),"ID unbekannt"))</f>
        <v/>
      </c>
      <c r="C1989" s="63" t="n"/>
      <c r="D1989" s="61" t="n"/>
      <c r="E1989" s="60" t="n"/>
      <c r="F1989" s="61" t="n"/>
    </row>
    <row r="1990">
      <c r="A1990" s="60" t="n"/>
      <c r="B1990" s="65">
        <f>IF(A1990="","",IFERROR(INDEX(Bestand!$B$14:$B$213,MATCH(A1990,Bestand!$A$14:$A$213,0)),"ID unbekannt"))</f>
        <v/>
      </c>
      <c r="C1990" s="63" t="n"/>
      <c r="D1990" s="61" t="n"/>
      <c r="E1990" s="60" t="n"/>
      <c r="F1990" s="61" t="n"/>
    </row>
    <row r="1991">
      <c r="A1991" s="60" t="n"/>
      <c r="B1991" s="65">
        <f>IF(A1991="","",IFERROR(INDEX(Bestand!$B$14:$B$213,MATCH(A1991,Bestand!$A$14:$A$213,0)),"ID unbekannt"))</f>
        <v/>
      </c>
      <c r="C1991" s="63" t="n"/>
      <c r="D1991" s="61" t="n"/>
      <c r="E1991" s="60" t="n"/>
      <c r="F1991" s="61" t="n"/>
    </row>
    <row r="1992">
      <c r="A1992" s="60" t="n"/>
      <c r="B1992" s="65">
        <f>IF(A1992="","",IFERROR(INDEX(Bestand!$B$14:$B$213,MATCH(A1992,Bestand!$A$14:$A$213,0)),"ID unbekannt"))</f>
        <v/>
      </c>
      <c r="C1992" s="63" t="n"/>
      <c r="D1992" s="61" t="n"/>
      <c r="E1992" s="60" t="n"/>
      <c r="F1992" s="61" t="n"/>
    </row>
    <row r="1993">
      <c r="A1993" s="60" t="n"/>
      <c r="B1993" s="65">
        <f>IF(A1993="","",IFERROR(INDEX(Bestand!$B$14:$B$213,MATCH(A1993,Bestand!$A$14:$A$213,0)),"ID unbekannt"))</f>
        <v/>
      </c>
      <c r="C1993" s="63" t="n"/>
      <c r="D1993" s="61" t="n"/>
      <c r="E1993" s="60" t="n"/>
      <c r="F1993" s="61" t="n"/>
    </row>
    <row r="1994">
      <c r="A1994" s="60" t="n"/>
      <c r="B1994" s="65">
        <f>IF(A1994="","",IFERROR(INDEX(Bestand!$B$14:$B$213,MATCH(A1994,Bestand!$A$14:$A$213,0)),"ID unbekannt"))</f>
        <v/>
      </c>
      <c r="C1994" s="63" t="n"/>
      <c r="D1994" s="61" t="n"/>
      <c r="E1994" s="60" t="n"/>
      <c r="F1994" s="61" t="n"/>
    </row>
    <row r="1995">
      <c r="A1995" s="60" t="n"/>
      <c r="B1995" s="65">
        <f>IF(A1995="","",IFERROR(INDEX(Bestand!$B$14:$B$213,MATCH(A1995,Bestand!$A$14:$A$213,0)),"ID unbekannt"))</f>
        <v/>
      </c>
      <c r="C1995" s="63" t="n"/>
      <c r="D1995" s="61" t="n"/>
      <c r="E1995" s="60" t="n"/>
      <c r="F1995" s="61" t="n"/>
    </row>
    <row r="1996">
      <c r="A1996" s="60" t="n"/>
      <c r="B1996" s="65">
        <f>IF(A1996="","",IFERROR(INDEX(Bestand!$B$14:$B$213,MATCH(A1996,Bestand!$A$14:$A$213,0)),"ID unbekannt"))</f>
        <v/>
      </c>
      <c r="C1996" s="63" t="n"/>
      <c r="D1996" s="61" t="n"/>
      <c r="E1996" s="60" t="n"/>
      <c r="F1996" s="61" t="n"/>
    </row>
    <row r="1997">
      <c r="A1997" s="60" t="n"/>
      <c r="B1997" s="65">
        <f>IF(A1997="","",IFERROR(INDEX(Bestand!$B$14:$B$213,MATCH(A1997,Bestand!$A$14:$A$213,0)),"ID unbekannt"))</f>
        <v/>
      </c>
      <c r="C1997" s="63" t="n"/>
      <c r="D1997" s="61" t="n"/>
      <c r="E1997" s="60" t="n"/>
      <c r="F1997" s="61" t="n"/>
    </row>
    <row r="1998">
      <c r="A1998" s="60" t="n"/>
      <c r="B1998" s="65">
        <f>IF(A1998="","",IFERROR(INDEX(Bestand!$B$14:$B$213,MATCH(A1998,Bestand!$A$14:$A$213,0)),"ID unbekannt"))</f>
        <v/>
      </c>
      <c r="C1998" s="63" t="n"/>
      <c r="D1998" s="61" t="n"/>
      <c r="E1998" s="60" t="n"/>
      <c r="F1998" s="61" t="n"/>
    </row>
    <row r="1999">
      <c r="A1999" s="60" t="n"/>
      <c r="B1999" s="65">
        <f>IF(A1999="","",IFERROR(INDEX(Bestand!$B$14:$B$213,MATCH(A1999,Bestand!$A$14:$A$213,0)),"ID unbekannt"))</f>
        <v/>
      </c>
      <c r="C1999" s="63" t="n"/>
      <c r="D1999" s="61" t="n"/>
      <c r="E1999" s="60" t="n"/>
      <c r="F1999" s="61" t="n"/>
    </row>
    <row r="2000">
      <c r="A2000" s="60" t="n"/>
      <c r="B2000" s="65">
        <f>IF(A2000="","",IFERROR(INDEX(Bestand!$B$14:$B$213,MATCH(A2000,Bestand!$A$14:$A$213,0)),"ID unbekannt"))</f>
        <v/>
      </c>
      <c r="C2000" s="63" t="n"/>
      <c r="D2000" s="61" t="n"/>
      <c r="E2000" s="60" t="n"/>
      <c r="F2000" s="61" t="n"/>
    </row>
    <row r="2001">
      <c r="A2001" s="60" t="n"/>
      <c r="B2001" s="65">
        <f>IF(A2001="","",IFERROR(INDEX(Bestand!$B$14:$B$213,MATCH(A2001,Bestand!$A$14:$A$213,0)),"ID unbekannt"))</f>
        <v/>
      </c>
      <c r="C2001" s="63" t="n"/>
      <c r="D2001" s="61" t="n"/>
      <c r="E2001" s="60" t="n"/>
      <c r="F2001" s="61" t="n"/>
    </row>
    <row r="2002">
      <c r="A2002" s="60" t="n"/>
      <c r="B2002" s="65">
        <f>IF(A2002="","",IFERROR(INDEX(Bestand!$B$14:$B$213,MATCH(A2002,Bestand!$A$14:$A$213,0)),"ID unbekannt"))</f>
        <v/>
      </c>
      <c r="C2002" s="63" t="n"/>
      <c r="D2002" s="61" t="n"/>
      <c r="E2002" s="60" t="n"/>
      <c r="F2002" s="61" t="n"/>
    </row>
    <row r="2003">
      <c r="A2003" s="60" t="n"/>
      <c r="B2003" s="65">
        <f>IF(A2003="","",IFERROR(INDEX(Bestand!$B$14:$B$213,MATCH(A2003,Bestand!$A$14:$A$213,0)),"ID unbekannt"))</f>
        <v/>
      </c>
      <c r="C2003" s="63" t="n"/>
      <c r="D2003" s="61" t="n"/>
      <c r="E2003" s="60" t="n"/>
      <c r="F2003" s="61" t="n"/>
    </row>
    <row r="2004">
      <c r="A2004" s="60" t="n"/>
      <c r="B2004" s="65">
        <f>IF(A2004="","",IFERROR(INDEX(Bestand!$B$14:$B$213,MATCH(A2004,Bestand!$A$14:$A$213,0)),"ID unbekannt"))</f>
        <v/>
      </c>
      <c r="C2004" s="63" t="n"/>
      <c r="D2004" s="61" t="n"/>
      <c r="E2004" s="60" t="n"/>
      <c r="F2004" s="61" t="n"/>
    </row>
    <row r="2005">
      <c r="A2005" s="60" t="n"/>
      <c r="B2005" s="65">
        <f>IF(A2005="","",IFERROR(INDEX(Bestand!$B$14:$B$213,MATCH(A2005,Bestand!$A$14:$A$213,0)),"ID unbekannt"))</f>
        <v/>
      </c>
      <c r="C2005" s="63" t="n"/>
      <c r="D2005" s="61" t="n"/>
      <c r="E2005" s="60" t="n"/>
      <c r="F2005" s="61" t="n"/>
    </row>
    <row r="2006">
      <c r="A2006" s="60" t="n"/>
      <c r="B2006" s="65">
        <f>IF(A2006="","",IFERROR(INDEX(Bestand!$B$14:$B$213,MATCH(A2006,Bestand!$A$14:$A$213,0)),"ID unbekannt"))</f>
        <v/>
      </c>
      <c r="C2006" s="63" t="n"/>
      <c r="D2006" s="61" t="n"/>
      <c r="E2006" s="60" t="n"/>
      <c r="F2006" s="61" t="n"/>
    </row>
  </sheetData>
  <conditionalFormatting sqref="E7:E2006">
    <cfRule type="cellIs" priority="1" operator="equal" dxfId="6">
      <formula>"Nein"</formula>
    </cfRule>
  </conditionalFormatting>
  <dataValidations count="3">
    <dataValidation sqref="A7:A2006" showDropDown="0" showInputMessage="0" showErrorMessage="1" allowBlank="1" error="Bitte einen Wert aus der Liste wählen." type="list">
      <formula1>=Bestand!$A$14:$A$213</formula1>
    </dataValidation>
    <dataValidation sqref="D7:D2006" showDropDown="0" showInputMessage="0" showErrorMessage="0" allowBlank="1" error="Bitte einen Wert aus der Liste wählen." type="list">
      <formula1>=lstFutter</formula1>
    </dataValidation>
    <dataValidation sqref="E7:E2006" showDropDown="0" showInputMessage="0" showErrorMessage="1" allowBlank="1" error="Bitte einen Wert aus der Liste wählen." type="list">
      <formula1>=lstAngenommen</formula1>
    </dataValidation>
  </dataValidations>
  <hyperlinks>
    <hyperlink xmlns:r="http://schemas.openxmlformats.org/officeDocument/2006/relationships" ref="F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5.xml><?xml version="1.0" encoding="utf-8"?>
<worksheet xmlns="http://schemas.openxmlformats.org/spreadsheetml/2006/main">
  <sheetPr>
    <tabColor rgb="0048627A"/>
    <outlinePr summaryBelow="1" summaryRight="1"/>
    <pageSetUpPr/>
  </sheetPr>
  <dimension ref="A1:M100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3.5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3.5" customWidth="1" min="10" max="10"/>
    <col width="13.5" customWidth="1" min="11" max="11"/>
    <col width="3" customWidth="1" min="12" max="12"/>
    <col hidden="1" width="13" customWidth="1" min="13" max="13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30" customHeight="1">
      <c r="A2" s="1" t="n"/>
      <c r="B2" s="2" t="inlineStr">
        <is>
          <t>VOGELSPINNEN BESTANDSBUCH</t>
        </is>
      </c>
      <c r="C2" s="3" t="n"/>
      <c r="D2" s="3" t="n"/>
      <c r="E2" s="3" t="n"/>
      <c r="F2" s="3" t="n"/>
      <c r="G2" s="3" t="n"/>
      <c r="H2" s="3" t="n"/>
      <c r="I2" s="3" t="n"/>
      <c r="J2" s="3" t="n"/>
      <c r="K2" s="28" t="inlineStr">
        <is>
          <t>vogelspinner.net</t>
        </is>
      </c>
      <c r="L2" s="1" t="n"/>
      <c r="M2" s="1" t="n"/>
    </row>
    <row r="3" ht="20" customHeight="1">
      <c r="A3" s="1" t="n"/>
      <c r="B3" s="4" t="inlineStr">
        <is>
          <t>Ein Tier wählen und alles sehen: Steckbrief, Häutungszyklus und komplette Historie.</t>
        </is>
      </c>
      <c r="C3" s="3" t="n"/>
      <c r="D3" s="3" t="n"/>
      <c r="E3" s="3" t="n"/>
      <c r="F3" s="3" t="n"/>
      <c r="G3" s="3" t="n"/>
      <c r="H3" s="3" t="n"/>
      <c r="I3" s="3" t="n"/>
      <c r="J3" s="3" t="n"/>
      <c r="K3" s="29" t="inlineStr">
        <is>
          <t>Kostenlose Vorlage</t>
        </is>
      </c>
      <c r="L3" s="1" t="n"/>
      <c r="M3" s="1" t="n"/>
    </row>
    <row r="4" ht="1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</row>
    <row r="5" ht="30" customHeight="1">
      <c r="A5" s="1" t="n"/>
      <c r="B5" s="72" t="inlineStr">
        <is>
          <t>TIER WÄHLEN</t>
        </is>
      </c>
      <c r="C5" s="73" t="inlineStr">
        <is>
          <t>T001</t>
        </is>
      </c>
      <c r="D5" s="74" t="inlineStr">
        <is>
          <t>◂ ID anklicken und aus der Liste wählen</t>
        </is>
      </c>
      <c r="E5" s="1" t="n"/>
      <c r="F5" s="1" t="n"/>
      <c r="G5" s="1" t="n"/>
      <c r="H5" s="1" t="n"/>
      <c r="I5" s="1" t="n"/>
      <c r="J5" s="1" t="n"/>
      <c r="K5" s="1" t="n"/>
      <c r="L5" s="1" t="n"/>
      <c r="M5" s="1">
        <f>IFERROR(MATCH($C$5,Bestand!$A$14:$A$213,0),"")</f>
        <v/>
      </c>
    </row>
    <row r="6" ht="12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</row>
    <row r="7" ht="22" customHeight="1">
      <c r="A7" s="1" t="n"/>
      <c r="B7" s="75">
        <f>IF($M$5="","",IF(INDEX(Bestand!$F$14:$F$213,$M$5)="weiblich","♀",IF(INDEX(Bestand!$F$14:$F$213,$M$5)="männlich","♂","?")))</f>
        <v/>
      </c>
      <c r="D7" s="76">
        <f>IF($M$5="","",$C$5&amp;"   ·   "&amp;IF(INDEX(Bestand!$F$14:$F$213,$M$5)="","Geschlecht offen",INDEX(Bestand!$F$14:$F$213,$M$5))&amp;"   ·   "&amp;IF(INDEX(Bestand!$H$14:$H$213,$M$5)="","",INDEX(Bestand!$H$14:$H$213,$M$5)))</f>
        <v/>
      </c>
      <c r="I7" s="77" t="inlineStr">
        <is>
          <t>AKTUELL</t>
        </is>
      </c>
      <c r="L7" s="1" t="n"/>
      <c r="M7" s="1" t="n"/>
    </row>
    <row r="8" ht="30" customHeight="1">
      <c r="A8" s="1" t="n"/>
      <c r="D8" s="78">
        <f>IF($M$5="","ID nicht gefunden",INDEX(Bestand!$B$14:$B$213,$M$5))</f>
        <v/>
      </c>
      <c r="I8" s="79">
        <f>IF($M$5="","",IF(INDEX(Bestand!$AA$14:$AA$213,$M$5)="","",INDEX(Bestand!$AA$14:$AA$213,$M$5)))</f>
        <v/>
      </c>
      <c r="L8" s="1" t="n"/>
      <c r="M8" s="1" t="n"/>
    </row>
    <row r="9" ht="30" customHeight="1">
      <c r="A9" s="1" t="n"/>
      <c r="L9" s="1" t="n"/>
      <c r="M9" s="1" t="n"/>
    </row>
    <row r="10" ht="22" customHeight="1">
      <c r="A10" s="1" t="n"/>
      <c r="D10" s="80">
        <f>IF($M$5="","",IF(INDEX(Bestand!$R$14:$R$213,$M$5)="","",INDEX(Bestand!$R$14:$R$213,$M$5)))</f>
        <v/>
      </c>
      <c r="I10" s="81">
        <f>IF($M$5="","",IF(INDEX(Bestand!$P$14:$P$213,$M$5)="","","Terrarium "&amp;INDEX(Bestand!$P$14:$P$213,$M$5)))</f>
        <v/>
      </c>
      <c r="L10" s="1" t="n"/>
      <c r="M10" s="1" t="n"/>
    </row>
    <row r="11" ht="12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</row>
    <row r="12" ht="20" customHeight="1">
      <c r="A12" s="1" t="n"/>
      <c r="B12" s="82" t="inlineStr">
        <is>
          <t>HÄUTUNGEN</t>
        </is>
      </c>
      <c r="C12" s="83" t="n"/>
      <c r="D12" s="82" t="inlineStr">
        <is>
          <t>Ø ABSTAND</t>
        </is>
      </c>
      <c r="E12" s="83" t="n"/>
      <c r="F12" s="82" t="inlineStr">
        <is>
          <t>NÄCHSTE HÄUTUNG</t>
        </is>
      </c>
      <c r="G12" s="83" t="n"/>
      <c r="H12" s="82" t="inlineStr">
        <is>
          <t>GRÖSSE</t>
        </is>
      </c>
      <c r="I12" s="83" t="n"/>
      <c r="J12" s="82" t="inlineStr">
        <is>
          <t>BEI DIR SEIT</t>
        </is>
      </c>
      <c r="K12" s="83" t="n"/>
      <c r="L12" s="1" t="n"/>
      <c r="M12" s="1" t="n"/>
    </row>
    <row r="13" ht="38" customHeight="1">
      <c r="A13" s="1" t="n"/>
      <c r="B13" s="84">
        <f>IF($M$5="","",IF(INDEX(Bestand!$T$14:$T$213,$M$5)="","",INDEX(Bestand!$T$14:$T$213,$M$5)))</f>
        <v/>
      </c>
      <c r="C13" s="85" t="n"/>
      <c r="D13" s="86">
        <f>IF($M$5="","",IF(INDEX(Bestand!$U$14:$U$213,$M$5)="","",INDEX(Bestand!$U$14:$U$213,$M$5)))</f>
        <v/>
      </c>
      <c r="E13" s="85" t="n"/>
      <c r="F13" s="87">
        <f>IF($M$5="","",IF(INDEX(Bestand!$W$14:$W$213,$M$5)="","",INDEX(Bestand!$W$14:$W$213,$M$5)-TODAY()))</f>
        <v/>
      </c>
      <c r="G13" s="85" t="n"/>
      <c r="H13" s="88">
        <f>IF($M$5="","",IF(INDEX(Bestand!$X$14:$X$213,$M$5)="","",INDEX(Bestand!$X$14:$X$213,$M$5)))</f>
        <v/>
      </c>
      <c r="I13" s="85" t="n"/>
      <c r="J13" s="89">
        <f>IF($M$5="","",IF(INDEX(Bestand!$J$14:$J$213,$M$5)="","",IF(TODAY()-INDEX(Bestand!$J$14:$J$213,$M$5)&lt;365,ROUND((TODAY()-INDEX(Bestand!$J$14:$J$213,$M$5))/30.44,0)&amp;" Mon.",FIXED((TODAY()-INDEX(Bestand!$J$14:$J$213,$M$5))/365.25,1)&amp;" J.")))</f>
        <v/>
      </c>
      <c r="K13" s="85" t="n"/>
      <c r="L13" s="1" t="n"/>
      <c r="M13" s="1" t="n"/>
    </row>
    <row r="14" ht="20" customHeight="1">
      <c r="A14" s="1" t="n"/>
      <c r="B14" s="90">
        <f>IF($M$5="","",IF(INDEX(Bestand!$S$14:$S$213,$M$5)="","noch keine erfasst","letzte am "&amp;RIGHT("0"&amp;DAY(INDEX(Bestand!$S$14:$S$213,$M$5)),2)&amp;"."&amp;RIGHT("0"&amp;MONTH(INDEX(Bestand!$S$14:$S$213,$M$5)),2)&amp;"."&amp;YEAR(INDEX(Bestand!$S$14:$S$213,$M$5))))</f>
        <v/>
      </c>
      <c r="C14" s="85" t="n"/>
      <c r="D14" s="90">
        <f>"der letzten 3 Häutungen"</f>
        <v/>
      </c>
      <c r="E14" s="85" t="n"/>
      <c r="F14" s="90">
        <f>IF($M$5="","",IF(INDEX(Bestand!$W$14:$W$213,$M$5)="","keine Prognose","ca. "&amp;RIGHT("0"&amp;DAY(INDEX(Bestand!$W$14:$W$213,$M$5)),2)&amp;"."&amp;RIGHT("0"&amp;MONTH(INDEX(Bestand!$W$14:$W$213,$M$5)),2)&amp;"."&amp;YEAR(INDEX(Bestand!$W$14:$W$213,$M$5))))</f>
        <v/>
      </c>
      <c r="G14" s="85" t="n"/>
      <c r="H14" s="90">
        <f>IF($M$5="","",IF(INDEX(Bestand!$I$14:$I$213,$M$5)="","Körperlänge","bei Kauf "&amp;FIXED(INDEX(Bestand!$I$14:$I$213,$M$5),1)&amp;" cm"))</f>
        <v/>
      </c>
      <c r="I14" s="85" t="n"/>
      <c r="J14" s="90">
        <f>IF($M$5="","",IF(INDEX(Bestand!$J$14:$J$213,$M$5)="","Kaufdatum fehlt","seit "&amp;RIGHT("0"&amp;DAY(INDEX(Bestand!$J$14:$J$213,$M$5)),2)&amp;"."&amp;RIGHT("0"&amp;MONTH(INDEX(Bestand!$J$14:$J$213,$M$5)),2)&amp;"."&amp;YEAR(INDEX(Bestand!$J$14:$J$213,$M$5))))</f>
        <v/>
      </c>
      <c r="K14" s="85" t="n"/>
      <c r="L14" s="1" t="n"/>
      <c r="M14" s="1" t="n"/>
    </row>
    <row r="15" ht="14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</row>
    <row r="16" ht="22" customHeight="1">
      <c r="A16" s="1" t="n"/>
      <c r="B16" s="91" t="inlineStr">
        <is>
          <t>Häutungszyklus</t>
        </is>
      </c>
      <c r="F16" s="92">
        <f>IF($M$5="","",IF(INDEX(Bestand!$W$14:$W$213,$M$5)="","Noch keine Prognose (ab 2 Häutungen, nicht bei adulten Männchen)",TEXT(INDEX(Bestand!$V$14:$V$213,$M$5)/(INDEX(Bestand!$U$14:$U$213,$M$5)*TpM),"0%")&amp;" des üblichen Abstands erreicht"))</f>
        <v/>
      </c>
      <c r="L16" s="1" t="n"/>
      <c r="M16" s="1" t="n"/>
    </row>
    <row r="17" ht="22" customHeight="1">
      <c r="A17" s="1" t="n"/>
      <c r="B17" s="93">
        <f>IF($M$5="","",IF(INDEX(Bestand!$W$14:$W$213,$M$5)="","",MIN(INDEX(Bestand!$V$14:$V$213,$M$5)/(INDEX(Bestand!$U$14:$U$213,$M$5)*TpM),1.5)))</f>
        <v/>
      </c>
      <c r="C17" s="94" t="n"/>
      <c r="D17" s="94" t="n"/>
      <c r="E17" s="94" t="n"/>
      <c r="F17" s="94" t="n"/>
      <c r="G17" s="94" t="n"/>
      <c r="H17" s="94" t="n"/>
      <c r="I17" s="94" t="n"/>
      <c r="J17" s="94" t="n"/>
      <c r="K17" s="94" t="n"/>
      <c r="L17" s="1" t="n"/>
      <c r="M17" s="1" t="n"/>
    </row>
    <row r="18" ht="16" customHeight="1">
      <c r="A18" s="1" t="n"/>
      <c r="B18" s="95" t="inlineStr">
        <is>
          <t>letzte Häutung</t>
        </is>
      </c>
      <c r="C18" s="96" t="n"/>
      <c r="D18" s="96" t="n"/>
      <c r="E18" s="96" t="n"/>
      <c r="F18" s="96" t="n"/>
      <c r="G18" s="97" t="inlineStr">
        <is>
          <t>▲ üblicher Abstand</t>
        </is>
      </c>
      <c r="I18" s="96" t="n"/>
      <c r="J18" s="98" t="inlineStr">
        <is>
          <t>deutlich drüber</t>
        </is>
      </c>
      <c r="L18" s="1" t="n"/>
      <c r="M18" s="1" t="n"/>
    </row>
    <row r="19" ht="14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</row>
    <row r="20" ht="26" customHeight="1">
      <c r="A20" s="1" t="n"/>
      <c r="B20" s="99" t="inlineStr">
        <is>
          <t>Steckbrief</t>
        </is>
      </c>
      <c r="L20" s="1" t="n"/>
      <c r="M20" s="1" t="n"/>
    </row>
    <row r="21" ht="24" customHeight="1">
      <c r="A21" s="1" t="n"/>
      <c r="B21" s="100" t="inlineStr">
        <is>
          <t>GATTUNG</t>
        </is>
      </c>
      <c r="C21" s="101">
        <f>IF($M$5="","",IF(INDEX(Bestand!$C$14:$C$213,$M$5)="","",INDEX(Bestand!$C$14:$C$213,$M$5)))</f>
        <v/>
      </c>
      <c r="D21" s="33" t="n"/>
      <c r="E21" s="102" t="inlineStr">
        <is>
          <t>ART</t>
        </is>
      </c>
      <c r="F21" s="101">
        <f>IF($M$5="","",IF(INDEX(Bestand!$D$14:$D$213,$M$5)="","",INDEX(Bestand!$D$14:$D$213,$M$5)))</f>
        <v/>
      </c>
      <c r="G21" s="33" t="n"/>
      <c r="H21" s="102" t="inlineStr">
        <is>
          <t>LEBENSWEISE</t>
        </is>
      </c>
      <c r="I21" s="101">
        <f>IF($M$5="","",IF(INDEX(Bestand!$E$14:$E$213,$M$5)="","",INDEX(Bestand!$E$14:$E$213,$M$5)))</f>
        <v/>
      </c>
      <c r="J21" s="33" t="n"/>
      <c r="K21" s="33" t="n"/>
      <c r="L21" s="1" t="n"/>
      <c r="M21" s="1" t="n"/>
    </row>
    <row r="22" ht="24" customHeight="1">
      <c r="A22" s="1" t="n"/>
      <c r="B22" s="100" t="inlineStr">
        <is>
          <t>BESTIMMT PER</t>
        </is>
      </c>
      <c r="C22" s="101">
        <f>IF($M$5="","",IF(INDEX(Bestand!$G$14:$G$213,$M$5)="","",INDEX(Bestand!$G$14:$G$213,$M$5)))</f>
        <v/>
      </c>
      <c r="D22" s="33" t="n"/>
      <c r="E22" s="102" t="inlineStr">
        <is>
          <t>ENTWICKLUNG</t>
        </is>
      </c>
      <c r="F22" s="101">
        <f>IF($M$5="","",IF(INDEX(Bestand!$H$14:$H$213,$M$5)="","",INDEX(Bestand!$H$14:$H$213,$M$5)))</f>
        <v/>
      </c>
      <c r="G22" s="33" t="n"/>
      <c r="H22" s="102" t="inlineStr">
        <is>
          <t>HERKUNFT</t>
        </is>
      </c>
      <c r="I22" s="101">
        <f>IF($M$5="","",IF(INDEX(Bestand!$M$14:$M$213,$M$5)="","",INDEX(Bestand!$M$14:$M$213,$M$5)))</f>
        <v/>
      </c>
      <c r="J22" s="33" t="n"/>
      <c r="K22" s="33" t="n"/>
      <c r="L22" s="1" t="n"/>
      <c r="M22" s="1" t="n"/>
    </row>
    <row r="23" ht="24" customHeight="1">
      <c r="A23" s="1" t="n"/>
      <c r="B23" s="100" t="inlineStr">
        <is>
          <t>KAUFDATUM</t>
        </is>
      </c>
      <c r="C23" s="103">
        <f>IF($M$5="","",IF(INDEX(Bestand!$J$14:$J$213,$M$5)="","",INDEX(Bestand!$J$14:$J$213,$M$5)))</f>
        <v/>
      </c>
      <c r="D23" s="33" t="n"/>
      <c r="E23" s="102" t="inlineStr">
        <is>
          <t>GEKAUFT BEI</t>
        </is>
      </c>
      <c r="F23" s="101">
        <f>IF($M$5="","",IF(INDEX(Bestand!$K$14:$K$213,$M$5)="","",INDEX(Bestand!$K$14:$K$213,$M$5)))</f>
        <v/>
      </c>
      <c r="G23" s="33" t="n"/>
      <c r="H23" s="102" t="inlineStr">
        <is>
          <t>PREIS</t>
        </is>
      </c>
      <c r="I23" s="104">
        <f>IF($M$5="","",IF(INDEX(Bestand!$L$14:$L$213,$M$5)="","",INDEX(Bestand!$L$14:$L$213,$M$5)))</f>
        <v/>
      </c>
      <c r="J23" s="33" t="n"/>
      <c r="K23" s="33" t="n"/>
      <c r="L23" s="1" t="n"/>
      <c r="M23" s="1" t="n"/>
    </row>
    <row r="24" ht="24" customHeight="1">
      <c r="A24" s="1" t="n"/>
      <c r="B24" s="100" t="inlineStr">
        <is>
          <t>CITES / MELDEPFL.</t>
        </is>
      </c>
      <c r="C24" s="101">
        <f>IF($M$5="","",IF(INDEX(Bestand!$N$14:$N$213,$M$5)="","",INDEX(Bestand!$N$14:$N$213,$M$5)))</f>
        <v/>
      </c>
      <c r="D24" s="33" t="n"/>
      <c r="E24" s="102" t="inlineStr">
        <is>
          <t>NACHWEIS DA</t>
        </is>
      </c>
      <c r="F24" s="101">
        <f>IF($M$5="","",IF(INDEX(Bestand!$O$14:$O$213,$M$5)="","",INDEX(Bestand!$O$14:$O$213,$M$5)))</f>
        <v/>
      </c>
      <c r="G24" s="33" t="n"/>
      <c r="H24" s="102" t="inlineStr">
        <is>
          <t>TERRARIUM</t>
        </is>
      </c>
      <c r="I24" s="101">
        <f>IF($M$5="","",IF(INDEX(Bestand!$P$14:$P$213,$M$5)="","",INDEX(Bestand!$P$14:$P$213,$M$5)))</f>
        <v/>
      </c>
      <c r="J24" s="33" t="n"/>
      <c r="K24" s="33" t="n"/>
      <c r="L24" s="1" t="n"/>
      <c r="M24" s="1" t="n"/>
    </row>
    <row r="25" ht="24" customHeight="1">
      <c r="A25" s="1" t="n"/>
      <c r="B25" s="100" t="inlineStr">
        <is>
          <t>LETZTE HÄUTUNG</t>
        </is>
      </c>
      <c r="C25" s="103">
        <f>IF($M$5="","",IF(INDEX(Bestand!$S$14:$S$213,$M$5)="","",INDEX(Bestand!$S$14:$S$213,$M$5)))</f>
        <v/>
      </c>
      <c r="D25" s="33" t="n"/>
      <c r="E25" s="102" t="inlineStr">
        <is>
          <t>LETZTE FÜTTERUNG</t>
        </is>
      </c>
      <c r="F25" s="103">
        <f>IF($M$5="","",IF(INDEX(Bestand!$Y$14:$Y$213,$M$5)="","",INDEX(Bestand!$Y$14:$Y$213,$M$5)))</f>
        <v/>
      </c>
      <c r="G25" s="33" t="n"/>
      <c r="H25" s="102" t="inlineStr">
        <is>
          <t>TAGE OHNE FUTTER</t>
        </is>
      </c>
      <c r="I25" s="105">
        <f>IF($M$5="","",IF(INDEX(Bestand!$Z$14:$Z$213,$M$5)="","",INDEX(Bestand!$Z$14:$Z$213,$M$5)))</f>
        <v/>
      </c>
      <c r="J25" s="33" t="n"/>
      <c r="K25" s="33" t="n"/>
      <c r="L25" s="1" t="n"/>
      <c r="M25" s="1" t="n"/>
    </row>
    <row r="26" ht="18" customHeight="1">
      <c r="A26" s="1" t="n"/>
      <c r="B26" s="106" t="inlineStr">
        <is>
          <t>NOTIZEN</t>
        </is>
      </c>
      <c r="L26" s="1" t="n"/>
      <c r="M26" s="1" t="n"/>
    </row>
    <row r="27" ht="36" customHeight="1">
      <c r="A27" s="1" t="n"/>
      <c r="B27" s="107">
        <f>IF($M$5="","",IF(INDEX(Bestand!$Q$14:$Q$213,$M$5)="","",INDEX(Bestand!$Q$14:$Q$213,$M$5)))</f>
        <v/>
      </c>
      <c r="L27" s="1" t="n"/>
      <c r="M27" s="1" t="n"/>
    </row>
    <row r="28" ht="14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</row>
    <row r="29" ht="26" customHeight="1">
      <c r="A29" s="1" t="n"/>
      <c r="B29" s="99" t="inlineStr">
        <is>
          <t>Häutungshistorie</t>
        </is>
      </c>
      <c r="L29" s="1" t="n"/>
      <c r="M29" s="1" t="n"/>
    </row>
    <row r="30" ht="22" customHeight="1">
      <c r="A30" s="1" t="n"/>
      <c r="B30" s="108" t="inlineStr">
        <is>
          <t>NR.</t>
        </is>
      </c>
      <c r="C30" s="108" t="inlineStr">
        <is>
          <t>DATUM</t>
        </is>
      </c>
      <c r="D30" s="108" t="inlineStr">
        <is>
          <t>TAGE</t>
        </is>
      </c>
      <c r="E30" s="109" t="inlineStr">
        <is>
          <t>ABSTAND</t>
        </is>
      </c>
      <c r="F30" s="110" t="n"/>
      <c r="G30" s="109" t="inlineStr">
        <is>
          <t>GRÖSSE</t>
        </is>
      </c>
      <c r="H30" s="110" t="n"/>
      <c r="I30" s="108" t="inlineStr">
        <is>
          <t>EXUVIE</t>
        </is>
      </c>
      <c r="J30" s="109" t="inlineStr">
        <is>
          <t>NOTIZ</t>
        </is>
      </c>
      <c r="K30" s="110" t="n"/>
      <c r="L30" s="1" t="n"/>
      <c r="M30" s="1" t="n"/>
    </row>
    <row r="31" ht="22" customHeight="1">
      <c r="A31" s="1" t="n"/>
      <c r="B31" s="111">
        <f>IF($M31="","",1)</f>
        <v/>
      </c>
      <c r="C31" s="112">
        <f>IF($M31="","",IF(INDEX('Häutungen'!$C$7:$C$1006,$M31)="","",INDEX('Häutungen'!$C$7:$C$1006,$M31)))</f>
        <v/>
      </c>
      <c r="D31" s="113">
        <f>IF($M31="","",IF(INDEX('Häutungen'!$I$7:$I$1006,$M31)="","",INDEX('Häutungen'!$I$7:$I$1006,$M31)))</f>
        <v/>
      </c>
      <c r="E31" s="114">
        <f>IF($M31="","",IF(INDEX('Häutungen'!$J$7:$J$1006,$M31)="","",INDEX('Häutungen'!$J$7:$J$1006,$M31)))</f>
        <v/>
      </c>
      <c r="F31" s="115" t="n"/>
      <c r="G31" s="116">
        <f>IF($M31="","",IF(INDEX('Häutungen'!$D$7:$D$1006,$M31)="","",INDEX('Häutungen'!$D$7:$D$1006,$M31)))</f>
        <v/>
      </c>
      <c r="H31" s="115" t="n"/>
      <c r="I31" s="117">
        <f>IF($M31="","",IF(INDEX('Häutungen'!$E$7:$E$1006,$M31)="Ja","✓","")&amp;IF(INDEX('Häutungen'!$F$7:$F$1006,$M31)="weiblich"," ♀",IF(INDEX('Häutungen'!$F$7:$F$1006,$M31)="männlich"," ♂","")))</f>
        <v/>
      </c>
      <c r="J31" s="118">
        <f>IF($M31="","",IF(INDEX('Häutungen'!$G$7:$G$1006,$M31)="","",INDEX('Häutungen'!$G$7:$G$1006,$M31)))</f>
        <v/>
      </c>
      <c r="K31" s="115" t="n"/>
      <c r="L31" s="1" t="n"/>
      <c r="M31" s="1">
        <f>IFERROR(MATCH($C$5&amp;"|"&amp;1,'Häutungen'!$L$7:$L$1006,0),"")</f>
        <v/>
      </c>
    </row>
    <row r="32" ht="22" customHeight="1">
      <c r="A32" s="1" t="n"/>
      <c r="B32" s="111">
        <f>IF($M32="","",2)</f>
        <v/>
      </c>
      <c r="C32" s="112">
        <f>IF($M32="","",IF(INDEX('Häutungen'!$C$7:$C$1006,$M32)="","",INDEX('Häutungen'!$C$7:$C$1006,$M32)))</f>
        <v/>
      </c>
      <c r="D32" s="113">
        <f>IF($M32="","",IF(INDEX('Häutungen'!$I$7:$I$1006,$M32)="","",INDEX('Häutungen'!$I$7:$I$1006,$M32)))</f>
        <v/>
      </c>
      <c r="E32" s="114">
        <f>IF($M32="","",IF(INDEX('Häutungen'!$J$7:$J$1006,$M32)="","",INDEX('Häutungen'!$J$7:$J$1006,$M32)))</f>
        <v/>
      </c>
      <c r="F32" s="115" t="n"/>
      <c r="G32" s="116">
        <f>IF($M32="","",IF(INDEX('Häutungen'!$D$7:$D$1006,$M32)="","",INDEX('Häutungen'!$D$7:$D$1006,$M32)))</f>
        <v/>
      </c>
      <c r="H32" s="115" t="n"/>
      <c r="I32" s="117">
        <f>IF($M32="","",IF(INDEX('Häutungen'!$E$7:$E$1006,$M32)="Ja","✓","")&amp;IF(INDEX('Häutungen'!$F$7:$F$1006,$M32)="weiblich"," ♀",IF(INDEX('Häutungen'!$F$7:$F$1006,$M32)="männlich"," ♂","")))</f>
        <v/>
      </c>
      <c r="J32" s="118">
        <f>IF($M32="","",IF(INDEX('Häutungen'!$G$7:$G$1006,$M32)="","",INDEX('Häutungen'!$G$7:$G$1006,$M32)))</f>
        <v/>
      </c>
      <c r="K32" s="115" t="n"/>
      <c r="L32" s="1" t="n"/>
      <c r="M32" s="1">
        <f>IFERROR(MATCH($C$5&amp;"|"&amp;2,'Häutungen'!$L$7:$L$1006,0),"")</f>
        <v/>
      </c>
    </row>
    <row r="33" ht="22" customHeight="1">
      <c r="A33" s="1" t="n"/>
      <c r="B33" s="111">
        <f>IF($M33="","",3)</f>
        <v/>
      </c>
      <c r="C33" s="112">
        <f>IF($M33="","",IF(INDEX('Häutungen'!$C$7:$C$1006,$M33)="","",INDEX('Häutungen'!$C$7:$C$1006,$M33)))</f>
        <v/>
      </c>
      <c r="D33" s="113">
        <f>IF($M33="","",IF(INDEX('Häutungen'!$I$7:$I$1006,$M33)="","",INDEX('Häutungen'!$I$7:$I$1006,$M33)))</f>
        <v/>
      </c>
      <c r="E33" s="114">
        <f>IF($M33="","",IF(INDEX('Häutungen'!$J$7:$J$1006,$M33)="","",INDEX('Häutungen'!$J$7:$J$1006,$M33)))</f>
        <v/>
      </c>
      <c r="F33" s="115" t="n"/>
      <c r="G33" s="116">
        <f>IF($M33="","",IF(INDEX('Häutungen'!$D$7:$D$1006,$M33)="","",INDEX('Häutungen'!$D$7:$D$1006,$M33)))</f>
        <v/>
      </c>
      <c r="H33" s="115" t="n"/>
      <c r="I33" s="117">
        <f>IF($M33="","",IF(INDEX('Häutungen'!$E$7:$E$1006,$M33)="Ja","✓","")&amp;IF(INDEX('Häutungen'!$F$7:$F$1006,$M33)="weiblich"," ♀",IF(INDEX('Häutungen'!$F$7:$F$1006,$M33)="männlich"," ♂","")))</f>
        <v/>
      </c>
      <c r="J33" s="118">
        <f>IF($M33="","",IF(INDEX('Häutungen'!$G$7:$G$1006,$M33)="","",INDEX('Häutungen'!$G$7:$G$1006,$M33)))</f>
        <v/>
      </c>
      <c r="K33" s="115" t="n"/>
      <c r="L33" s="1" t="n"/>
      <c r="M33" s="1">
        <f>IFERROR(MATCH($C$5&amp;"|"&amp;3,'Häutungen'!$L$7:$L$1006,0),"")</f>
        <v/>
      </c>
    </row>
    <row r="34" ht="22" customHeight="1">
      <c r="A34" s="1" t="n"/>
      <c r="B34" s="111">
        <f>IF($M34="","",4)</f>
        <v/>
      </c>
      <c r="C34" s="112">
        <f>IF($M34="","",IF(INDEX('Häutungen'!$C$7:$C$1006,$M34)="","",INDEX('Häutungen'!$C$7:$C$1006,$M34)))</f>
        <v/>
      </c>
      <c r="D34" s="113">
        <f>IF($M34="","",IF(INDEX('Häutungen'!$I$7:$I$1006,$M34)="","",INDEX('Häutungen'!$I$7:$I$1006,$M34)))</f>
        <v/>
      </c>
      <c r="E34" s="114">
        <f>IF($M34="","",IF(INDEX('Häutungen'!$J$7:$J$1006,$M34)="","",INDEX('Häutungen'!$J$7:$J$1006,$M34)))</f>
        <v/>
      </c>
      <c r="F34" s="115" t="n"/>
      <c r="G34" s="116">
        <f>IF($M34="","",IF(INDEX('Häutungen'!$D$7:$D$1006,$M34)="","",INDEX('Häutungen'!$D$7:$D$1006,$M34)))</f>
        <v/>
      </c>
      <c r="H34" s="115" t="n"/>
      <c r="I34" s="117">
        <f>IF($M34="","",IF(INDEX('Häutungen'!$E$7:$E$1006,$M34)="Ja","✓","")&amp;IF(INDEX('Häutungen'!$F$7:$F$1006,$M34)="weiblich"," ♀",IF(INDEX('Häutungen'!$F$7:$F$1006,$M34)="männlich"," ♂","")))</f>
        <v/>
      </c>
      <c r="J34" s="118">
        <f>IF($M34="","",IF(INDEX('Häutungen'!$G$7:$G$1006,$M34)="","",INDEX('Häutungen'!$G$7:$G$1006,$M34)))</f>
        <v/>
      </c>
      <c r="K34" s="115" t="n"/>
      <c r="L34" s="1" t="n"/>
      <c r="M34" s="1">
        <f>IFERROR(MATCH($C$5&amp;"|"&amp;4,'Häutungen'!$L$7:$L$1006,0),"")</f>
        <v/>
      </c>
    </row>
    <row r="35" ht="22" customHeight="1">
      <c r="A35" s="1" t="n"/>
      <c r="B35" s="111">
        <f>IF($M35="","",5)</f>
        <v/>
      </c>
      <c r="C35" s="112">
        <f>IF($M35="","",IF(INDEX('Häutungen'!$C$7:$C$1006,$M35)="","",INDEX('Häutungen'!$C$7:$C$1006,$M35)))</f>
        <v/>
      </c>
      <c r="D35" s="113">
        <f>IF($M35="","",IF(INDEX('Häutungen'!$I$7:$I$1006,$M35)="","",INDEX('Häutungen'!$I$7:$I$1006,$M35)))</f>
        <v/>
      </c>
      <c r="E35" s="114">
        <f>IF($M35="","",IF(INDEX('Häutungen'!$J$7:$J$1006,$M35)="","",INDEX('Häutungen'!$J$7:$J$1006,$M35)))</f>
        <v/>
      </c>
      <c r="F35" s="115" t="n"/>
      <c r="G35" s="116">
        <f>IF($M35="","",IF(INDEX('Häutungen'!$D$7:$D$1006,$M35)="","",INDEX('Häutungen'!$D$7:$D$1006,$M35)))</f>
        <v/>
      </c>
      <c r="H35" s="115" t="n"/>
      <c r="I35" s="117">
        <f>IF($M35="","",IF(INDEX('Häutungen'!$E$7:$E$1006,$M35)="Ja","✓","")&amp;IF(INDEX('Häutungen'!$F$7:$F$1006,$M35)="weiblich"," ♀",IF(INDEX('Häutungen'!$F$7:$F$1006,$M35)="männlich"," ♂","")))</f>
        <v/>
      </c>
      <c r="J35" s="118">
        <f>IF($M35="","",IF(INDEX('Häutungen'!$G$7:$G$1006,$M35)="","",INDEX('Häutungen'!$G$7:$G$1006,$M35)))</f>
        <v/>
      </c>
      <c r="K35" s="115" t="n"/>
      <c r="L35" s="1" t="n"/>
      <c r="M35" s="1">
        <f>IFERROR(MATCH($C$5&amp;"|"&amp;5,'Häutungen'!$L$7:$L$1006,0),"")</f>
        <v/>
      </c>
    </row>
    <row r="36" ht="22" customHeight="1">
      <c r="A36" s="1" t="n"/>
      <c r="B36" s="111">
        <f>IF($M36="","",6)</f>
        <v/>
      </c>
      <c r="C36" s="112">
        <f>IF($M36="","",IF(INDEX('Häutungen'!$C$7:$C$1006,$M36)="","",INDEX('Häutungen'!$C$7:$C$1006,$M36)))</f>
        <v/>
      </c>
      <c r="D36" s="113">
        <f>IF($M36="","",IF(INDEX('Häutungen'!$I$7:$I$1006,$M36)="","",INDEX('Häutungen'!$I$7:$I$1006,$M36)))</f>
        <v/>
      </c>
      <c r="E36" s="114">
        <f>IF($M36="","",IF(INDEX('Häutungen'!$J$7:$J$1006,$M36)="","",INDEX('Häutungen'!$J$7:$J$1006,$M36)))</f>
        <v/>
      </c>
      <c r="F36" s="115" t="n"/>
      <c r="G36" s="116">
        <f>IF($M36="","",IF(INDEX('Häutungen'!$D$7:$D$1006,$M36)="","",INDEX('Häutungen'!$D$7:$D$1006,$M36)))</f>
        <v/>
      </c>
      <c r="H36" s="115" t="n"/>
      <c r="I36" s="117">
        <f>IF($M36="","",IF(INDEX('Häutungen'!$E$7:$E$1006,$M36)="Ja","✓","")&amp;IF(INDEX('Häutungen'!$F$7:$F$1006,$M36)="weiblich"," ♀",IF(INDEX('Häutungen'!$F$7:$F$1006,$M36)="männlich"," ♂","")))</f>
        <v/>
      </c>
      <c r="J36" s="118">
        <f>IF($M36="","",IF(INDEX('Häutungen'!$G$7:$G$1006,$M36)="","",INDEX('Häutungen'!$G$7:$G$1006,$M36)))</f>
        <v/>
      </c>
      <c r="K36" s="115" t="n"/>
      <c r="L36" s="1" t="n"/>
      <c r="M36" s="1">
        <f>IFERROR(MATCH($C$5&amp;"|"&amp;6,'Häutungen'!$L$7:$L$1006,0),"")</f>
        <v/>
      </c>
    </row>
    <row r="37" ht="22" customHeight="1">
      <c r="A37" s="1" t="n"/>
      <c r="B37" s="111">
        <f>IF($M37="","",7)</f>
        <v/>
      </c>
      <c r="C37" s="112">
        <f>IF($M37="","",IF(INDEX('Häutungen'!$C$7:$C$1006,$M37)="","",INDEX('Häutungen'!$C$7:$C$1006,$M37)))</f>
        <v/>
      </c>
      <c r="D37" s="113">
        <f>IF($M37="","",IF(INDEX('Häutungen'!$I$7:$I$1006,$M37)="","",INDEX('Häutungen'!$I$7:$I$1006,$M37)))</f>
        <v/>
      </c>
      <c r="E37" s="114">
        <f>IF($M37="","",IF(INDEX('Häutungen'!$J$7:$J$1006,$M37)="","",INDEX('Häutungen'!$J$7:$J$1006,$M37)))</f>
        <v/>
      </c>
      <c r="F37" s="115" t="n"/>
      <c r="G37" s="116">
        <f>IF($M37="","",IF(INDEX('Häutungen'!$D$7:$D$1006,$M37)="","",INDEX('Häutungen'!$D$7:$D$1006,$M37)))</f>
        <v/>
      </c>
      <c r="H37" s="115" t="n"/>
      <c r="I37" s="117">
        <f>IF($M37="","",IF(INDEX('Häutungen'!$E$7:$E$1006,$M37)="Ja","✓","")&amp;IF(INDEX('Häutungen'!$F$7:$F$1006,$M37)="weiblich"," ♀",IF(INDEX('Häutungen'!$F$7:$F$1006,$M37)="männlich"," ♂","")))</f>
        <v/>
      </c>
      <c r="J37" s="118">
        <f>IF($M37="","",IF(INDEX('Häutungen'!$G$7:$G$1006,$M37)="","",INDEX('Häutungen'!$G$7:$G$1006,$M37)))</f>
        <v/>
      </c>
      <c r="K37" s="115" t="n"/>
      <c r="L37" s="1" t="n"/>
      <c r="M37" s="1">
        <f>IFERROR(MATCH($C$5&amp;"|"&amp;7,'Häutungen'!$L$7:$L$1006,0),"")</f>
        <v/>
      </c>
    </row>
    <row r="38" ht="22" customHeight="1">
      <c r="A38" s="1" t="n"/>
      <c r="B38" s="111">
        <f>IF($M38="","",8)</f>
        <v/>
      </c>
      <c r="C38" s="112">
        <f>IF($M38="","",IF(INDEX('Häutungen'!$C$7:$C$1006,$M38)="","",INDEX('Häutungen'!$C$7:$C$1006,$M38)))</f>
        <v/>
      </c>
      <c r="D38" s="113">
        <f>IF($M38="","",IF(INDEX('Häutungen'!$I$7:$I$1006,$M38)="","",INDEX('Häutungen'!$I$7:$I$1006,$M38)))</f>
        <v/>
      </c>
      <c r="E38" s="114">
        <f>IF($M38="","",IF(INDEX('Häutungen'!$J$7:$J$1006,$M38)="","",INDEX('Häutungen'!$J$7:$J$1006,$M38)))</f>
        <v/>
      </c>
      <c r="F38" s="115" t="n"/>
      <c r="G38" s="116">
        <f>IF($M38="","",IF(INDEX('Häutungen'!$D$7:$D$1006,$M38)="","",INDEX('Häutungen'!$D$7:$D$1006,$M38)))</f>
        <v/>
      </c>
      <c r="H38" s="115" t="n"/>
      <c r="I38" s="117">
        <f>IF($M38="","",IF(INDEX('Häutungen'!$E$7:$E$1006,$M38)="Ja","✓","")&amp;IF(INDEX('Häutungen'!$F$7:$F$1006,$M38)="weiblich"," ♀",IF(INDEX('Häutungen'!$F$7:$F$1006,$M38)="männlich"," ♂","")))</f>
        <v/>
      </c>
      <c r="J38" s="118">
        <f>IF($M38="","",IF(INDEX('Häutungen'!$G$7:$G$1006,$M38)="","",INDEX('Häutungen'!$G$7:$G$1006,$M38)))</f>
        <v/>
      </c>
      <c r="K38" s="115" t="n"/>
      <c r="L38" s="1" t="n"/>
      <c r="M38" s="1">
        <f>IFERROR(MATCH($C$5&amp;"|"&amp;8,'Häutungen'!$L$7:$L$1006,0),"")</f>
        <v/>
      </c>
    </row>
    <row r="39" ht="22" customHeight="1">
      <c r="A39" s="1" t="n"/>
      <c r="B39" s="111">
        <f>IF($M39="","",9)</f>
        <v/>
      </c>
      <c r="C39" s="112">
        <f>IF($M39="","",IF(INDEX('Häutungen'!$C$7:$C$1006,$M39)="","",INDEX('Häutungen'!$C$7:$C$1006,$M39)))</f>
        <v/>
      </c>
      <c r="D39" s="113">
        <f>IF($M39="","",IF(INDEX('Häutungen'!$I$7:$I$1006,$M39)="","",INDEX('Häutungen'!$I$7:$I$1006,$M39)))</f>
        <v/>
      </c>
      <c r="E39" s="114">
        <f>IF($M39="","",IF(INDEX('Häutungen'!$J$7:$J$1006,$M39)="","",INDEX('Häutungen'!$J$7:$J$1006,$M39)))</f>
        <v/>
      </c>
      <c r="F39" s="115" t="n"/>
      <c r="G39" s="116">
        <f>IF($M39="","",IF(INDEX('Häutungen'!$D$7:$D$1006,$M39)="","",INDEX('Häutungen'!$D$7:$D$1006,$M39)))</f>
        <v/>
      </c>
      <c r="H39" s="115" t="n"/>
      <c r="I39" s="117">
        <f>IF($M39="","",IF(INDEX('Häutungen'!$E$7:$E$1006,$M39)="Ja","✓","")&amp;IF(INDEX('Häutungen'!$F$7:$F$1006,$M39)="weiblich"," ♀",IF(INDEX('Häutungen'!$F$7:$F$1006,$M39)="männlich"," ♂","")))</f>
        <v/>
      </c>
      <c r="J39" s="118">
        <f>IF($M39="","",IF(INDEX('Häutungen'!$G$7:$G$1006,$M39)="","",INDEX('Häutungen'!$G$7:$G$1006,$M39)))</f>
        <v/>
      </c>
      <c r="K39" s="115" t="n"/>
      <c r="L39" s="1" t="n"/>
      <c r="M39" s="1">
        <f>IFERROR(MATCH($C$5&amp;"|"&amp;9,'Häutungen'!$L$7:$L$1006,0),"")</f>
        <v/>
      </c>
    </row>
    <row r="40" ht="22" customHeight="1">
      <c r="A40" s="1" t="n"/>
      <c r="B40" s="111">
        <f>IF($M40="","",10)</f>
        <v/>
      </c>
      <c r="C40" s="112">
        <f>IF($M40="","",IF(INDEX('Häutungen'!$C$7:$C$1006,$M40)="","",INDEX('Häutungen'!$C$7:$C$1006,$M40)))</f>
        <v/>
      </c>
      <c r="D40" s="113">
        <f>IF($M40="","",IF(INDEX('Häutungen'!$I$7:$I$1006,$M40)="","",INDEX('Häutungen'!$I$7:$I$1006,$M40)))</f>
        <v/>
      </c>
      <c r="E40" s="114">
        <f>IF($M40="","",IF(INDEX('Häutungen'!$J$7:$J$1006,$M40)="","",INDEX('Häutungen'!$J$7:$J$1006,$M40)))</f>
        <v/>
      </c>
      <c r="F40" s="115" t="n"/>
      <c r="G40" s="116">
        <f>IF($M40="","",IF(INDEX('Häutungen'!$D$7:$D$1006,$M40)="","",INDEX('Häutungen'!$D$7:$D$1006,$M40)))</f>
        <v/>
      </c>
      <c r="H40" s="115" t="n"/>
      <c r="I40" s="117">
        <f>IF($M40="","",IF(INDEX('Häutungen'!$E$7:$E$1006,$M40)="Ja","✓","")&amp;IF(INDEX('Häutungen'!$F$7:$F$1006,$M40)="weiblich"," ♀",IF(INDEX('Häutungen'!$F$7:$F$1006,$M40)="männlich"," ♂","")))</f>
        <v/>
      </c>
      <c r="J40" s="118">
        <f>IF($M40="","",IF(INDEX('Häutungen'!$G$7:$G$1006,$M40)="","",INDEX('Häutungen'!$G$7:$G$1006,$M40)))</f>
        <v/>
      </c>
      <c r="K40" s="115" t="n"/>
      <c r="L40" s="1" t="n"/>
      <c r="M40" s="1">
        <f>IFERROR(MATCH($C$5&amp;"|"&amp;10,'Häutungen'!$L$7:$L$1006,0),"")</f>
        <v/>
      </c>
    </row>
    <row r="41" ht="22" customHeight="1">
      <c r="A41" s="1" t="n"/>
      <c r="B41" s="111">
        <f>IF($M41="","",11)</f>
        <v/>
      </c>
      <c r="C41" s="112">
        <f>IF($M41="","",IF(INDEX('Häutungen'!$C$7:$C$1006,$M41)="","",INDEX('Häutungen'!$C$7:$C$1006,$M41)))</f>
        <v/>
      </c>
      <c r="D41" s="113">
        <f>IF($M41="","",IF(INDEX('Häutungen'!$I$7:$I$1006,$M41)="","",INDEX('Häutungen'!$I$7:$I$1006,$M41)))</f>
        <v/>
      </c>
      <c r="E41" s="114">
        <f>IF($M41="","",IF(INDEX('Häutungen'!$J$7:$J$1006,$M41)="","",INDEX('Häutungen'!$J$7:$J$1006,$M41)))</f>
        <v/>
      </c>
      <c r="F41" s="115" t="n"/>
      <c r="G41" s="116">
        <f>IF($M41="","",IF(INDEX('Häutungen'!$D$7:$D$1006,$M41)="","",INDEX('Häutungen'!$D$7:$D$1006,$M41)))</f>
        <v/>
      </c>
      <c r="H41" s="115" t="n"/>
      <c r="I41" s="117">
        <f>IF($M41="","",IF(INDEX('Häutungen'!$E$7:$E$1006,$M41)="Ja","✓","")&amp;IF(INDEX('Häutungen'!$F$7:$F$1006,$M41)="weiblich"," ♀",IF(INDEX('Häutungen'!$F$7:$F$1006,$M41)="männlich"," ♂","")))</f>
        <v/>
      </c>
      <c r="J41" s="118">
        <f>IF($M41="","",IF(INDEX('Häutungen'!$G$7:$G$1006,$M41)="","",INDEX('Häutungen'!$G$7:$G$1006,$M41)))</f>
        <v/>
      </c>
      <c r="K41" s="115" t="n"/>
      <c r="L41" s="1" t="n"/>
      <c r="M41" s="1">
        <f>IFERROR(MATCH($C$5&amp;"|"&amp;11,'Häutungen'!$L$7:$L$1006,0),"")</f>
        <v/>
      </c>
    </row>
    <row r="42" ht="22" customHeight="1">
      <c r="A42" s="1" t="n"/>
      <c r="B42" s="111">
        <f>IF($M42="","",12)</f>
        <v/>
      </c>
      <c r="C42" s="112">
        <f>IF($M42="","",IF(INDEX('Häutungen'!$C$7:$C$1006,$M42)="","",INDEX('Häutungen'!$C$7:$C$1006,$M42)))</f>
        <v/>
      </c>
      <c r="D42" s="113">
        <f>IF($M42="","",IF(INDEX('Häutungen'!$I$7:$I$1006,$M42)="","",INDEX('Häutungen'!$I$7:$I$1006,$M42)))</f>
        <v/>
      </c>
      <c r="E42" s="114">
        <f>IF($M42="","",IF(INDEX('Häutungen'!$J$7:$J$1006,$M42)="","",INDEX('Häutungen'!$J$7:$J$1006,$M42)))</f>
        <v/>
      </c>
      <c r="F42" s="115" t="n"/>
      <c r="G42" s="116">
        <f>IF($M42="","",IF(INDEX('Häutungen'!$D$7:$D$1006,$M42)="","",INDEX('Häutungen'!$D$7:$D$1006,$M42)))</f>
        <v/>
      </c>
      <c r="H42" s="115" t="n"/>
      <c r="I42" s="117">
        <f>IF($M42="","",IF(INDEX('Häutungen'!$E$7:$E$1006,$M42)="Ja","✓","")&amp;IF(INDEX('Häutungen'!$F$7:$F$1006,$M42)="weiblich"," ♀",IF(INDEX('Häutungen'!$F$7:$F$1006,$M42)="männlich"," ♂","")))</f>
        <v/>
      </c>
      <c r="J42" s="118">
        <f>IF($M42="","",IF(INDEX('Häutungen'!$G$7:$G$1006,$M42)="","",INDEX('Häutungen'!$G$7:$G$1006,$M42)))</f>
        <v/>
      </c>
      <c r="K42" s="115" t="n"/>
      <c r="L42" s="1" t="n"/>
      <c r="M42" s="1">
        <f>IFERROR(MATCH($C$5&amp;"|"&amp;12,'Häutungen'!$L$7:$L$1006,0),"")</f>
        <v/>
      </c>
    </row>
    <row r="43" ht="22" customHeight="1">
      <c r="A43" s="1" t="n"/>
      <c r="B43" s="111">
        <f>IF($M43="","",13)</f>
        <v/>
      </c>
      <c r="C43" s="112">
        <f>IF($M43="","",IF(INDEX('Häutungen'!$C$7:$C$1006,$M43)="","",INDEX('Häutungen'!$C$7:$C$1006,$M43)))</f>
        <v/>
      </c>
      <c r="D43" s="113">
        <f>IF($M43="","",IF(INDEX('Häutungen'!$I$7:$I$1006,$M43)="","",INDEX('Häutungen'!$I$7:$I$1006,$M43)))</f>
        <v/>
      </c>
      <c r="E43" s="114">
        <f>IF($M43="","",IF(INDEX('Häutungen'!$J$7:$J$1006,$M43)="","",INDEX('Häutungen'!$J$7:$J$1006,$M43)))</f>
        <v/>
      </c>
      <c r="F43" s="115" t="n"/>
      <c r="G43" s="116">
        <f>IF($M43="","",IF(INDEX('Häutungen'!$D$7:$D$1006,$M43)="","",INDEX('Häutungen'!$D$7:$D$1006,$M43)))</f>
        <v/>
      </c>
      <c r="H43" s="115" t="n"/>
      <c r="I43" s="117">
        <f>IF($M43="","",IF(INDEX('Häutungen'!$E$7:$E$1006,$M43)="Ja","✓","")&amp;IF(INDEX('Häutungen'!$F$7:$F$1006,$M43)="weiblich"," ♀",IF(INDEX('Häutungen'!$F$7:$F$1006,$M43)="männlich"," ♂","")))</f>
        <v/>
      </c>
      <c r="J43" s="118">
        <f>IF($M43="","",IF(INDEX('Häutungen'!$G$7:$G$1006,$M43)="","",INDEX('Häutungen'!$G$7:$G$1006,$M43)))</f>
        <v/>
      </c>
      <c r="K43" s="115" t="n"/>
      <c r="L43" s="1" t="n"/>
      <c r="M43" s="1">
        <f>IFERROR(MATCH($C$5&amp;"|"&amp;13,'Häutungen'!$L$7:$L$1006,0),"")</f>
        <v/>
      </c>
    </row>
    <row r="44" ht="22" customHeight="1">
      <c r="A44" s="1" t="n"/>
      <c r="B44" s="111">
        <f>IF($M44="","",14)</f>
        <v/>
      </c>
      <c r="C44" s="112">
        <f>IF($M44="","",IF(INDEX('Häutungen'!$C$7:$C$1006,$M44)="","",INDEX('Häutungen'!$C$7:$C$1006,$M44)))</f>
        <v/>
      </c>
      <c r="D44" s="113">
        <f>IF($M44="","",IF(INDEX('Häutungen'!$I$7:$I$1006,$M44)="","",INDEX('Häutungen'!$I$7:$I$1006,$M44)))</f>
        <v/>
      </c>
      <c r="E44" s="114">
        <f>IF($M44="","",IF(INDEX('Häutungen'!$J$7:$J$1006,$M44)="","",INDEX('Häutungen'!$J$7:$J$1006,$M44)))</f>
        <v/>
      </c>
      <c r="F44" s="115" t="n"/>
      <c r="G44" s="116">
        <f>IF($M44="","",IF(INDEX('Häutungen'!$D$7:$D$1006,$M44)="","",INDEX('Häutungen'!$D$7:$D$1006,$M44)))</f>
        <v/>
      </c>
      <c r="H44" s="115" t="n"/>
      <c r="I44" s="117">
        <f>IF($M44="","",IF(INDEX('Häutungen'!$E$7:$E$1006,$M44)="Ja","✓","")&amp;IF(INDEX('Häutungen'!$F$7:$F$1006,$M44)="weiblich"," ♀",IF(INDEX('Häutungen'!$F$7:$F$1006,$M44)="männlich"," ♂","")))</f>
        <v/>
      </c>
      <c r="J44" s="118">
        <f>IF($M44="","",IF(INDEX('Häutungen'!$G$7:$G$1006,$M44)="","",INDEX('Häutungen'!$G$7:$G$1006,$M44)))</f>
        <v/>
      </c>
      <c r="K44" s="115" t="n"/>
      <c r="L44" s="1" t="n"/>
      <c r="M44" s="1">
        <f>IFERROR(MATCH($C$5&amp;"|"&amp;14,'Häutungen'!$L$7:$L$1006,0),"")</f>
        <v/>
      </c>
    </row>
    <row r="45" ht="22" customHeight="1">
      <c r="A45" s="1" t="n"/>
      <c r="B45" s="111">
        <f>IF($M45="","",15)</f>
        <v/>
      </c>
      <c r="C45" s="112">
        <f>IF($M45="","",IF(INDEX('Häutungen'!$C$7:$C$1006,$M45)="","",INDEX('Häutungen'!$C$7:$C$1006,$M45)))</f>
        <v/>
      </c>
      <c r="D45" s="113">
        <f>IF($M45="","",IF(INDEX('Häutungen'!$I$7:$I$1006,$M45)="","",INDEX('Häutungen'!$I$7:$I$1006,$M45)))</f>
        <v/>
      </c>
      <c r="E45" s="114">
        <f>IF($M45="","",IF(INDEX('Häutungen'!$J$7:$J$1006,$M45)="","",INDEX('Häutungen'!$J$7:$J$1006,$M45)))</f>
        <v/>
      </c>
      <c r="F45" s="115" t="n"/>
      <c r="G45" s="116">
        <f>IF($M45="","",IF(INDEX('Häutungen'!$D$7:$D$1006,$M45)="","",INDEX('Häutungen'!$D$7:$D$1006,$M45)))</f>
        <v/>
      </c>
      <c r="H45" s="115" t="n"/>
      <c r="I45" s="117">
        <f>IF($M45="","",IF(INDEX('Häutungen'!$E$7:$E$1006,$M45)="Ja","✓","")&amp;IF(INDEX('Häutungen'!$F$7:$F$1006,$M45)="weiblich"," ♀",IF(INDEX('Häutungen'!$F$7:$F$1006,$M45)="männlich"," ♂","")))</f>
        <v/>
      </c>
      <c r="J45" s="118">
        <f>IF($M45="","",IF(INDEX('Häutungen'!$G$7:$G$1006,$M45)="","",INDEX('Häutungen'!$G$7:$G$1006,$M45)))</f>
        <v/>
      </c>
      <c r="K45" s="115" t="n"/>
      <c r="L45" s="1" t="n"/>
      <c r="M45" s="1">
        <f>IFERROR(MATCH($C$5&amp;"|"&amp;15,'Häutungen'!$L$7:$L$1006,0),"")</f>
        <v/>
      </c>
    </row>
    <row r="46" ht="22" customHeight="1">
      <c r="A46" s="1" t="n"/>
      <c r="B46" s="111">
        <f>IF($M46="","",16)</f>
        <v/>
      </c>
      <c r="C46" s="112">
        <f>IF($M46="","",IF(INDEX('Häutungen'!$C$7:$C$1006,$M46)="","",INDEX('Häutungen'!$C$7:$C$1006,$M46)))</f>
        <v/>
      </c>
      <c r="D46" s="113">
        <f>IF($M46="","",IF(INDEX('Häutungen'!$I$7:$I$1006,$M46)="","",INDEX('Häutungen'!$I$7:$I$1006,$M46)))</f>
        <v/>
      </c>
      <c r="E46" s="114">
        <f>IF($M46="","",IF(INDEX('Häutungen'!$J$7:$J$1006,$M46)="","",INDEX('Häutungen'!$J$7:$J$1006,$M46)))</f>
        <v/>
      </c>
      <c r="F46" s="115" t="n"/>
      <c r="G46" s="116">
        <f>IF($M46="","",IF(INDEX('Häutungen'!$D$7:$D$1006,$M46)="","",INDEX('Häutungen'!$D$7:$D$1006,$M46)))</f>
        <v/>
      </c>
      <c r="H46" s="115" t="n"/>
      <c r="I46" s="117">
        <f>IF($M46="","",IF(INDEX('Häutungen'!$E$7:$E$1006,$M46)="Ja","✓","")&amp;IF(INDEX('Häutungen'!$F$7:$F$1006,$M46)="weiblich"," ♀",IF(INDEX('Häutungen'!$F$7:$F$1006,$M46)="männlich"," ♂","")))</f>
        <v/>
      </c>
      <c r="J46" s="118">
        <f>IF($M46="","",IF(INDEX('Häutungen'!$G$7:$G$1006,$M46)="","",INDEX('Häutungen'!$G$7:$G$1006,$M46)))</f>
        <v/>
      </c>
      <c r="K46" s="115" t="n"/>
      <c r="L46" s="1" t="n"/>
      <c r="M46" s="1">
        <f>IFERROR(MATCH($C$5&amp;"|"&amp;16,'Häutungen'!$L$7:$L$1006,0),"")</f>
        <v/>
      </c>
    </row>
    <row r="47" ht="22" customHeight="1">
      <c r="A47" s="1" t="n"/>
      <c r="B47" s="111">
        <f>IF($M47="","",17)</f>
        <v/>
      </c>
      <c r="C47" s="112">
        <f>IF($M47="","",IF(INDEX('Häutungen'!$C$7:$C$1006,$M47)="","",INDEX('Häutungen'!$C$7:$C$1006,$M47)))</f>
        <v/>
      </c>
      <c r="D47" s="113">
        <f>IF($M47="","",IF(INDEX('Häutungen'!$I$7:$I$1006,$M47)="","",INDEX('Häutungen'!$I$7:$I$1006,$M47)))</f>
        <v/>
      </c>
      <c r="E47" s="114">
        <f>IF($M47="","",IF(INDEX('Häutungen'!$J$7:$J$1006,$M47)="","",INDEX('Häutungen'!$J$7:$J$1006,$M47)))</f>
        <v/>
      </c>
      <c r="F47" s="115" t="n"/>
      <c r="G47" s="116">
        <f>IF($M47="","",IF(INDEX('Häutungen'!$D$7:$D$1006,$M47)="","",INDEX('Häutungen'!$D$7:$D$1006,$M47)))</f>
        <v/>
      </c>
      <c r="H47" s="115" t="n"/>
      <c r="I47" s="117">
        <f>IF($M47="","",IF(INDEX('Häutungen'!$E$7:$E$1006,$M47)="Ja","✓","")&amp;IF(INDEX('Häutungen'!$F$7:$F$1006,$M47)="weiblich"," ♀",IF(INDEX('Häutungen'!$F$7:$F$1006,$M47)="männlich"," ♂","")))</f>
        <v/>
      </c>
      <c r="J47" s="118">
        <f>IF($M47="","",IF(INDEX('Häutungen'!$G$7:$G$1006,$M47)="","",INDEX('Häutungen'!$G$7:$G$1006,$M47)))</f>
        <v/>
      </c>
      <c r="K47" s="115" t="n"/>
      <c r="L47" s="1" t="n"/>
      <c r="M47" s="1">
        <f>IFERROR(MATCH($C$5&amp;"|"&amp;17,'Häutungen'!$L$7:$L$1006,0),"")</f>
        <v/>
      </c>
    </row>
    <row r="48" ht="22" customHeight="1">
      <c r="A48" s="1" t="n"/>
      <c r="B48" s="111">
        <f>IF($M48="","",18)</f>
        <v/>
      </c>
      <c r="C48" s="112">
        <f>IF($M48="","",IF(INDEX('Häutungen'!$C$7:$C$1006,$M48)="","",INDEX('Häutungen'!$C$7:$C$1006,$M48)))</f>
        <v/>
      </c>
      <c r="D48" s="113">
        <f>IF($M48="","",IF(INDEX('Häutungen'!$I$7:$I$1006,$M48)="","",INDEX('Häutungen'!$I$7:$I$1006,$M48)))</f>
        <v/>
      </c>
      <c r="E48" s="114">
        <f>IF($M48="","",IF(INDEX('Häutungen'!$J$7:$J$1006,$M48)="","",INDEX('Häutungen'!$J$7:$J$1006,$M48)))</f>
        <v/>
      </c>
      <c r="F48" s="115" t="n"/>
      <c r="G48" s="116">
        <f>IF($M48="","",IF(INDEX('Häutungen'!$D$7:$D$1006,$M48)="","",INDEX('Häutungen'!$D$7:$D$1006,$M48)))</f>
        <v/>
      </c>
      <c r="H48" s="115" t="n"/>
      <c r="I48" s="117">
        <f>IF($M48="","",IF(INDEX('Häutungen'!$E$7:$E$1006,$M48)="Ja","✓","")&amp;IF(INDEX('Häutungen'!$F$7:$F$1006,$M48)="weiblich"," ♀",IF(INDEX('Häutungen'!$F$7:$F$1006,$M48)="männlich"," ♂","")))</f>
        <v/>
      </c>
      <c r="J48" s="118">
        <f>IF($M48="","",IF(INDEX('Häutungen'!$G$7:$G$1006,$M48)="","",INDEX('Häutungen'!$G$7:$G$1006,$M48)))</f>
        <v/>
      </c>
      <c r="K48" s="115" t="n"/>
      <c r="L48" s="1" t="n"/>
      <c r="M48" s="1">
        <f>IFERROR(MATCH($C$5&amp;"|"&amp;18,'Häutungen'!$L$7:$L$1006,0),"")</f>
        <v/>
      </c>
    </row>
    <row r="49" ht="22" customHeight="1">
      <c r="A49" s="1" t="n"/>
      <c r="B49" s="111">
        <f>IF($M49="","",19)</f>
        <v/>
      </c>
      <c r="C49" s="112">
        <f>IF($M49="","",IF(INDEX('Häutungen'!$C$7:$C$1006,$M49)="","",INDEX('Häutungen'!$C$7:$C$1006,$M49)))</f>
        <v/>
      </c>
      <c r="D49" s="113">
        <f>IF($M49="","",IF(INDEX('Häutungen'!$I$7:$I$1006,$M49)="","",INDEX('Häutungen'!$I$7:$I$1006,$M49)))</f>
        <v/>
      </c>
      <c r="E49" s="114">
        <f>IF($M49="","",IF(INDEX('Häutungen'!$J$7:$J$1006,$M49)="","",INDEX('Häutungen'!$J$7:$J$1006,$M49)))</f>
        <v/>
      </c>
      <c r="F49" s="115" t="n"/>
      <c r="G49" s="116">
        <f>IF($M49="","",IF(INDEX('Häutungen'!$D$7:$D$1006,$M49)="","",INDEX('Häutungen'!$D$7:$D$1006,$M49)))</f>
        <v/>
      </c>
      <c r="H49" s="115" t="n"/>
      <c r="I49" s="117">
        <f>IF($M49="","",IF(INDEX('Häutungen'!$E$7:$E$1006,$M49)="Ja","✓","")&amp;IF(INDEX('Häutungen'!$F$7:$F$1006,$M49)="weiblich"," ♀",IF(INDEX('Häutungen'!$F$7:$F$1006,$M49)="männlich"," ♂","")))</f>
        <v/>
      </c>
      <c r="J49" s="118">
        <f>IF($M49="","",IF(INDEX('Häutungen'!$G$7:$G$1006,$M49)="","",INDEX('Häutungen'!$G$7:$G$1006,$M49)))</f>
        <v/>
      </c>
      <c r="K49" s="115" t="n"/>
      <c r="L49" s="1" t="n"/>
      <c r="M49" s="1">
        <f>IFERROR(MATCH($C$5&amp;"|"&amp;19,'Häutungen'!$L$7:$L$1006,0),"")</f>
        <v/>
      </c>
    </row>
    <row r="50" ht="22" customHeight="1">
      <c r="A50" s="1" t="n"/>
      <c r="B50" s="111">
        <f>IF($M50="","",20)</f>
        <v/>
      </c>
      <c r="C50" s="112">
        <f>IF($M50="","",IF(INDEX('Häutungen'!$C$7:$C$1006,$M50)="","",INDEX('Häutungen'!$C$7:$C$1006,$M50)))</f>
        <v/>
      </c>
      <c r="D50" s="113">
        <f>IF($M50="","",IF(INDEX('Häutungen'!$I$7:$I$1006,$M50)="","",INDEX('Häutungen'!$I$7:$I$1006,$M50)))</f>
        <v/>
      </c>
      <c r="E50" s="114">
        <f>IF($M50="","",IF(INDEX('Häutungen'!$J$7:$J$1006,$M50)="","",INDEX('Häutungen'!$J$7:$J$1006,$M50)))</f>
        <v/>
      </c>
      <c r="F50" s="115" t="n"/>
      <c r="G50" s="116">
        <f>IF($M50="","",IF(INDEX('Häutungen'!$D$7:$D$1006,$M50)="","",INDEX('Häutungen'!$D$7:$D$1006,$M50)))</f>
        <v/>
      </c>
      <c r="H50" s="115" t="n"/>
      <c r="I50" s="117">
        <f>IF($M50="","",IF(INDEX('Häutungen'!$E$7:$E$1006,$M50)="Ja","✓","")&amp;IF(INDEX('Häutungen'!$F$7:$F$1006,$M50)="weiblich"," ♀",IF(INDEX('Häutungen'!$F$7:$F$1006,$M50)="männlich"," ♂","")))</f>
        <v/>
      </c>
      <c r="J50" s="118">
        <f>IF($M50="","",IF(INDEX('Häutungen'!$G$7:$G$1006,$M50)="","",INDEX('Häutungen'!$G$7:$G$1006,$M50)))</f>
        <v/>
      </c>
      <c r="K50" s="115" t="n"/>
      <c r="L50" s="1" t="n"/>
      <c r="M50" s="1">
        <f>IFERROR(MATCH($C$5&amp;"|"&amp;20,'Häutungen'!$L$7:$L$1006,0),"")</f>
        <v/>
      </c>
    </row>
    <row r="51" ht="22" customHeight="1">
      <c r="A51" s="1" t="n"/>
      <c r="B51" s="111">
        <f>IF($M51="","",21)</f>
        <v/>
      </c>
      <c r="C51" s="112">
        <f>IF($M51="","",IF(INDEX('Häutungen'!$C$7:$C$1006,$M51)="","",INDEX('Häutungen'!$C$7:$C$1006,$M51)))</f>
        <v/>
      </c>
      <c r="D51" s="113">
        <f>IF($M51="","",IF(INDEX('Häutungen'!$I$7:$I$1006,$M51)="","",INDEX('Häutungen'!$I$7:$I$1006,$M51)))</f>
        <v/>
      </c>
      <c r="E51" s="114">
        <f>IF($M51="","",IF(INDEX('Häutungen'!$J$7:$J$1006,$M51)="","",INDEX('Häutungen'!$J$7:$J$1006,$M51)))</f>
        <v/>
      </c>
      <c r="F51" s="115" t="n"/>
      <c r="G51" s="116">
        <f>IF($M51="","",IF(INDEX('Häutungen'!$D$7:$D$1006,$M51)="","",INDEX('Häutungen'!$D$7:$D$1006,$M51)))</f>
        <v/>
      </c>
      <c r="H51" s="115" t="n"/>
      <c r="I51" s="117">
        <f>IF($M51="","",IF(INDEX('Häutungen'!$E$7:$E$1006,$M51)="Ja","✓","")&amp;IF(INDEX('Häutungen'!$F$7:$F$1006,$M51)="weiblich"," ♀",IF(INDEX('Häutungen'!$F$7:$F$1006,$M51)="männlich"," ♂","")))</f>
        <v/>
      </c>
      <c r="J51" s="118">
        <f>IF($M51="","",IF(INDEX('Häutungen'!$G$7:$G$1006,$M51)="","",INDEX('Häutungen'!$G$7:$G$1006,$M51)))</f>
        <v/>
      </c>
      <c r="K51" s="115" t="n"/>
      <c r="L51" s="1" t="n"/>
      <c r="M51" s="1">
        <f>IFERROR(MATCH($C$5&amp;"|"&amp;21,'Häutungen'!$L$7:$L$1006,0),"")</f>
        <v/>
      </c>
    </row>
    <row r="52" ht="22" customHeight="1">
      <c r="A52" s="1" t="n"/>
      <c r="B52" s="111">
        <f>IF($M52="","",22)</f>
        <v/>
      </c>
      <c r="C52" s="112">
        <f>IF($M52="","",IF(INDEX('Häutungen'!$C$7:$C$1006,$M52)="","",INDEX('Häutungen'!$C$7:$C$1006,$M52)))</f>
        <v/>
      </c>
      <c r="D52" s="113">
        <f>IF($M52="","",IF(INDEX('Häutungen'!$I$7:$I$1006,$M52)="","",INDEX('Häutungen'!$I$7:$I$1006,$M52)))</f>
        <v/>
      </c>
      <c r="E52" s="114">
        <f>IF($M52="","",IF(INDEX('Häutungen'!$J$7:$J$1006,$M52)="","",INDEX('Häutungen'!$J$7:$J$1006,$M52)))</f>
        <v/>
      </c>
      <c r="F52" s="115" t="n"/>
      <c r="G52" s="116">
        <f>IF($M52="","",IF(INDEX('Häutungen'!$D$7:$D$1006,$M52)="","",INDEX('Häutungen'!$D$7:$D$1006,$M52)))</f>
        <v/>
      </c>
      <c r="H52" s="115" t="n"/>
      <c r="I52" s="117">
        <f>IF($M52="","",IF(INDEX('Häutungen'!$E$7:$E$1006,$M52)="Ja","✓","")&amp;IF(INDEX('Häutungen'!$F$7:$F$1006,$M52)="weiblich"," ♀",IF(INDEX('Häutungen'!$F$7:$F$1006,$M52)="männlich"," ♂","")))</f>
        <v/>
      </c>
      <c r="J52" s="118">
        <f>IF($M52="","",IF(INDEX('Häutungen'!$G$7:$G$1006,$M52)="","",INDEX('Häutungen'!$G$7:$G$1006,$M52)))</f>
        <v/>
      </c>
      <c r="K52" s="115" t="n"/>
      <c r="L52" s="1" t="n"/>
      <c r="M52" s="1">
        <f>IFERROR(MATCH($C$5&amp;"|"&amp;22,'Häutungen'!$L$7:$L$1006,0),"")</f>
        <v/>
      </c>
    </row>
    <row r="53" ht="22" customHeight="1">
      <c r="A53" s="1" t="n"/>
      <c r="B53" s="111">
        <f>IF($M53="","",23)</f>
        <v/>
      </c>
      <c r="C53" s="112">
        <f>IF($M53="","",IF(INDEX('Häutungen'!$C$7:$C$1006,$M53)="","",INDEX('Häutungen'!$C$7:$C$1006,$M53)))</f>
        <v/>
      </c>
      <c r="D53" s="113">
        <f>IF($M53="","",IF(INDEX('Häutungen'!$I$7:$I$1006,$M53)="","",INDEX('Häutungen'!$I$7:$I$1006,$M53)))</f>
        <v/>
      </c>
      <c r="E53" s="114">
        <f>IF($M53="","",IF(INDEX('Häutungen'!$J$7:$J$1006,$M53)="","",INDEX('Häutungen'!$J$7:$J$1006,$M53)))</f>
        <v/>
      </c>
      <c r="F53" s="115" t="n"/>
      <c r="G53" s="116">
        <f>IF($M53="","",IF(INDEX('Häutungen'!$D$7:$D$1006,$M53)="","",INDEX('Häutungen'!$D$7:$D$1006,$M53)))</f>
        <v/>
      </c>
      <c r="H53" s="115" t="n"/>
      <c r="I53" s="117">
        <f>IF($M53="","",IF(INDEX('Häutungen'!$E$7:$E$1006,$M53)="Ja","✓","")&amp;IF(INDEX('Häutungen'!$F$7:$F$1006,$M53)="weiblich"," ♀",IF(INDEX('Häutungen'!$F$7:$F$1006,$M53)="männlich"," ♂","")))</f>
        <v/>
      </c>
      <c r="J53" s="118">
        <f>IF($M53="","",IF(INDEX('Häutungen'!$G$7:$G$1006,$M53)="","",INDEX('Häutungen'!$G$7:$G$1006,$M53)))</f>
        <v/>
      </c>
      <c r="K53" s="115" t="n"/>
      <c r="L53" s="1" t="n"/>
      <c r="M53" s="1">
        <f>IFERROR(MATCH($C$5&amp;"|"&amp;23,'Häutungen'!$L$7:$L$1006,0),"")</f>
        <v/>
      </c>
    </row>
    <row r="54" ht="22" customHeight="1">
      <c r="A54" s="1" t="n"/>
      <c r="B54" s="111">
        <f>IF($M54="","",24)</f>
        <v/>
      </c>
      <c r="C54" s="112">
        <f>IF($M54="","",IF(INDEX('Häutungen'!$C$7:$C$1006,$M54)="","",INDEX('Häutungen'!$C$7:$C$1006,$M54)))</f>
        <v/>
      </c>
      <c r="D54" s="113">
        <f>IF($M54="","",IF(INDEX('Häutungen'!$I$7:$I$1006,$M54)="","",INDEX('Häutungen'!$I$7:$I$1006,$M54)))</f>
        <v/>
      </c>
      <c r="E54" s="114">
        <f>IF($M54="","",IF(INDEX('Häutungen'!$J$7:$J$1006,$M54)="","",INDEX('Häutungen'!$J$7:$J$1006,$M54)))</f>
        <v/>
      </c>
      <c r="F54" s="115" t="n"/>
      <c r="G54" s="116">
        <f>IF($M54="","",IF(INDEX('Häutungen'!$D$7:$D$1006,$M54)="","",INDEX('Häutungen'!$D$7:$D$1006,$M54)))</f>
        <v/>
      </c>
      <c r="H54" s="115" t="n"/>
      <c r="I54" s="117">
        <f>IF($M54="","",IF(INDEX('Häutungen'!$E$7:$E$1006,$M54)="Ja","✓","")&amp;IF(INDEX('Häutungen'!$F$7:$F$1006,$M54)="weiblich"," ♀",IF(INDEX('Häutungen'!$F$7:$F$1006,$M54)="männlich"," ♂","")))</f>
        <v/>
      </c>
      <c r="J54" s="118">
        <f>IF($M54="","",IF(INDEX('Häutungen'!$G$7:$G$1006,$M54)="","",INDEX('Häutungen'!$G$7:$G$1006,$M54)))</f>
        <v/>
      </c>
      <c r="K54" s="115" t="n"/>
      <c r="L54" s="1" t="n"/>
      <c r="M54" s="1">
        <f>IFERROR(MATCH($C$5&amp;"|"&amp;24,'Häutungen'!$L$7:$L$1006,0),"")</f>
        <v/>
      </c>
    </row>
    <row r="55" ht="22" customHeight="1">
      <c r="A55" s="1" t="n"/>
      <c r="B55" s="111">
        <f>IF($M55="","",25)</f>
        <v/>
      </c>
      <c r="C55" s="112">
        <f>IF($M55="","",IF(INDEX('Häutungen'!$C$7:$C$1006,$M55)="","",INDEX('Häutungen'!$C$7:$C$1006,$M55)))</f>
        <v/>
      </c>
      <c r="D55" s="113">
        <f>IF($M55="","",IF(INDEX('Häutungen'!$I$7:$I$1006,$M55)="","",INDEX('Häutungen'!$I$7:$I$1006,$M55)))</f>
        <v/>
      </c>
      <c r="E55" s="114">
        <f>IF($M55="","",IF(INDEX('Häutungen'!$J$7:$J$1006,$M55)="","",INDEX('Häutungen'!$J$7:$J$1006,$M55)))</f>
        <v/>
      </c>
      <c r="F55" s="115" t="n"/>
      <c r="G55" s="116">
        <f>IF($M55="","",IF(INDEX('Häutungen'!$D$7:$D$1006,$M55)="","",INDEX('Häutungen'!$D$7:$D$1006,$M55)))</f>
        <v/>
      </c>
      <c r="H55" s="115" t="n"/>
      <c r="I55" s="117">
        <f>IF($M55="","",IF(INDEX('Häutungen'!$E$7:$E$1006,$M55)="Ja","✓","")&amp;IF(INDEX('Häutungen'!$F$7:$F$1006,$M55)="weiblich"," ♀",IF(INDEX('Häutungen'!$F$7:$F$1006,$M55)="männlich"," ♂","")))</f>
        <v/>
      </c>
      <c r="J55" s="118">
        <f>IF($M55="","",IF(INDEX('Häutungen'!$G$7:$G$1006,$M55)="","",INDEX('Häutungen'!$G$7:$G$1006,$M55)))</f>
        <v/>
      </c>
      <c r="K55" s="115" t="n"/>
      <c r="L55" s="1" t="n"/>
      <c r="M55" s="1">
        <f>IFERROR(MATCH($C$5&amp;"|"&amp;25,'Häutungen'!$L$7:$L$1006,0),"")</f>
        <v/>
      </c>
    </row>
    <row r="56" ht="22" customHeight="1">
      <c r="A56" s="1" t="n"/>
      <c r="B56" s="111">
        <f>IF($M56="","",26)</f>
        <v/>
      </c>
      <c r="C56" s="112">
        <f>IF($M56="","",IF(INDEX('Häutungen'!$C$7:$C$1006,$M56)="","",INDEX('Häutungen'!$C$7:$C$1006,$M56)))</f>
        <v/>
      </c>
      <c r="D56" s="113">
        <f>IF($M56="","",IF(INDEX('Häutungen'!$I$7:$I$1006,$M56)="","",INDEX('Häutungen'!$I$7:$I$1006,$M56)))</f>
        <v/>
      </c>
      <c r="E56" s="114">
        <f>IF($M56="","",IF(INDEX('Häutungen'!$J$7:$J$1006,$M56)="","",INDEX('Häutungen'!$J$7:$J$1006,$M56)))</f>
        <v/>
      </c>
      <c r="F56" s="115" t="n"/>
      <c r="G56" s="116">
        <f>IF($M56="","",IF(INDEX('Häutungen'!$D$7:$D$1006,$M56)="","",INDEX('Häutungen'!$D$7:$D$1006,$M56)))</f>
        <v/>
      </c>
      <c r="H56" s="115" t="n"/>
      <c r="I56" s="117">
        <f>IF($M56="","",IF(INDEX('Häutungen'!$E$7:$E$1006,$M56)="Ja","✓","")&amp;IF(INDEX('Häutungen'!$F$7:$F$1006,$M56)="weiblich"," ♀",IF(INDEX('Häutungen'!$F$7:$F$1006,$M56)="männlich"," ♂","")))</f>
        <v/>
      </c>
      <c r="J56" s="118">
        <f>IF($M56="","",IF(INDEX('Häutungen'!$G$7:$G$1006,$M56)="","",INDEX('Häutungen'!$G$7:$G$1006,$M56)))</f>
        <v/>
      </c>
      <c r="K56" s="115" t="n"/>
      <c r="L56" s="1" t="n"/>
      <c r="M56" s="1">
        <f>IFERROR(MATCH($C$5&amp;"|"&amp;26,'Häutungen'!$L$7:$L$1006,0),"")</f>
        <v/>
      </c>
    </row>
    <row r="57" ht="22" customHeight="1">
      <c r="A57" s="1" t="n"/>
      <c r="B57" s="111">
        <f>IF($M57="","",27)</f>
        <v/>
      </c>
      <c r="C57" s="112">
        <f>IF($M57="","",IF(INDEX('Häutungen'!$C$7:$C$1006,$M57)="","",INDEX('Häutungen'!$C$7:$C$1006,$M57)))</f>
        <v/>
      </c>
      <c r="D57" s="113">
        <f>IF($M57="","",IF(INDEX('Häutungen'!$I$7:$I$1006,$M57)="","",INDEX('Häutungen'!$I$7:$I$1006,$M57)))</f>
        <v/>
      </c>
      <c r="E57" s="114">
        <f>IF($M57="","",IF(INDEX('Häutungen'!$J$7:$J$1006,$M57)="","",INDEX('Häutungen'!$J$7:$J$1006,$M57)))</f>
        <v/>
      </c>
      <c r="F57" s="115" t="n"/>
      <c r="G57" s="116">
        <f>IF($M57="","",IF(INDEX('Häutungen'!$D$7:$D$1006,$M57)="","",INDEX('Häutungen'!$D$7:$D$1006,$M57)))</f>
        <v/>
      </c>
      <c r="H57" s="115" t="n"/>
      <c r="I57" s="117">
        <f>IF($M57="","",IF(INDEX('Häutungen'!$E$7:$E$1006,$M57)="Ja","✓","")&amp;IF(INDEX('Häutungen'!$F$7:$F$1006,$M57)="weiblich"," ♀",IF(INDEX('Häutungen'!$F$7:$F$1006,$M57)="männlich"," ♂","")))</f>
        <v/>
      </c>
      <c r="J57" s="118">
        <f>IF($M57="","",IF(INDEX('Häutungen'!$G$7:$G$1006,$M57)="","",INDEX('Häutungen'!$G$7:$G$1006,$M57)))</f>
        <v/>
      </c>
      <c r="K57" s="115" t="n"/>
      <c r="L57" s="1" t="n"/>
      <c r="M57" s="1">
        <f>IFERROR(MATCH($C$5&amp;"|"&amp;27,'Häutungen'!$L$7:$L$1006,0),"")</f>
        <v/>
      </c>
    </row>
    <row r="58" ht="22" customHeight="1">
      <c r="A58" s="1" t="n"/>
      <c r="B58" s="111">
        <f>IF($M58="","",28)</f>
        <v/>
      </c>
      <c r="C58" s="112">
        <f>IF($M58="","",IF(INDEX('Häutungen'!$C$7:$C$1006,$M58)="","",INDEX('Häutungen'!$C$7:$C$1006,$M58)))</f>
        <v/>
      </c>
      <c r="D58" s="113">
        <f>IF($M58="","",IF(INDEX('Häutungen'!$I$7:$I$1006,$M58)="","",INDEX('Häutungen'!$I$7:$I$1006,$M58)))</f>
        <v/>
      </c>
      <c r="E58" s="114">
        <f>IF($M58="","",IF(INDEX('Häutungen'!$J$7:$J$1006,$M58)="","",INDEX('Häutungen'!$J$7:$J$1006,$M58)))</f>
        <v/>
      </c>
      <c r="F58" s="115" t="n"/>
      <c r="G58" s="116">
        <f>IF($M58="","",IF(INDEX('Häutungen'!$D$7:$D$1006,$M58)="","",INDEX('Häutungen'!$D$7:$D$1006,$M58)))</f>
        <v/>
      </c>
      <c r="H58" s="115" t="n"/>
      <c r="I58" s="117">
        <f>IF($M58="","",IF(INDEX('Häutungen'!$E$7:$E$1006,$M58)="Ja","✓","")&amp;IF(INDEX('Häutungen'!$F$7:$F$1006,$M58)="weiblich"," ♀",IF(INDEX('Häutungen'!$F$7:$F$1006,$M58)="männlich"," ♂","")))</f>
        <v/>
      </c>
      <c r="J58" s="118">
        <f>IF($M58="","",IF(INDEX('Häutungen'!$G$7:$G$1006,$M58)="","",INDEX('Häutungen'!$G$7:$G$1006,$M58)))</f>
        <v/>
      </c>
      <c r="K58" s="115" t="n"/>
      <c r="L58" s="1" t="n"/>
      <c r="M58" s="1">
        <f>IFERROR(MATCH($C$5&amp;"|"&amp;28,'Häutungen'!$L$7:$L$1006,0),"")</f>
        <v/>
      </c>
    </row>
    <row r="59" ht="22" customHeight="1">
      <c r="A59" s="1" t="n"/>
      <c r="B59" s="111">
        <f>IF($M59="","",29)</f>
        <v/>
      </c>
      <c r="C59" s="112">
        <f>IF($M59="","",IF(INDEX('Häutungen'!$C$7:$C$1006,$M59)="","",INDEX('Häutungen'!$C$7:$C$1006,$M59)))</f>
        <v/>
      </c>
      <c r="D59" s="113">
        <f>IF($M59="","",IF(INDEX('Häutungen'!$I$7:$I$1006,$M59)="","",INDEX('Häutungen'!$I$7:$I$1006,$M59)))</f>
        <v/>
      </c>
      <c r="E59" s="114">
        <f>IF($M59="","",IF(INDEX('Häutungen'!$J$7:$J$1006,$M59)="","",INDEX('Häutungen'!$J$7:$J$1006,$M59)))</f>
        <v/>
      </c>
      <c r="F59" s="115" t="n"/>
      <c r="G59" s="116">
        <f>IF($M59="","",IF(INDEX('Häutungen'!$D$7:$D$1006,$M59)="","",INDEX('Häutungen'!$D$7:$D$1006,$M59)))</f>
        <v/>
      </c>
      <c r="H59" s="115" t="n"/>
      <c r="I59" s="117">
        <f>IF($M59="","",IF(INDEX('Häutungen'!$E$7:$E$1006,$M59)="Ja","✓","")&amp;IF(INDEX('Häutungen'!$F$7:$F$1006,$M59)="weiblich"," ♀",IF(INDEX('Häutungen'!$F$7:$F$1006,$M59)="männlich"," ♂","")))</f>
        <v/>
      </c>
      <c r="J59" s="118">
        <f>IF($M59="","",IF(INDEX('Häutungen'!$G$7:$G$1006,$M59)="","",INDEX('Häutungen'!$G$7:$G$1006,$M59)))</f>
        <v/>
      </c>
      <c r="K59" s="115" t="n"/>
      <c r="L59" s="1" t="n"/>
      <c r="M59" s="1">
        <f>IFERROR(MATCH($C$5&amp;"|"&amp;29,'Häutungen'!$L$7:$L$1006,0),"")</f>
        <v/>
      </c>
    </row>
    <row r="60" ht="22" customHeight="1">
      <c r="A60" s="1" t="n"/>
      <c r="B60" s="111">
        <f>IF($M60="","",30)</f>
        <v/>
      </c>
      <c r="C60" s="112">
        <f>IF($M60="","",IF(INDEX('Häutungen'!$C$7:$C$1006,$M60)="","",INDEX('Häutungen'!$C$7:$C$1006,$M60)))</f>
        <v/>
      </c>
      <c r="D60" s="113">
        <f>IF($M60="","",IF(INDEX('Häutungen'!$I$7:$I$1006,$M60)="","",INDEX('Häutungen'!$I$7:$I$1006,$M60)))</f>
        <v/>
      </c>
      <c r="E60" s="114">
        <f>IF($M60="","",IF(INDEX('Häutungen'!$J$7:$J$1006,$M60)="","",INDEX('Häutungen'!$J$7:$J$1006,$M60)))</f>
        <v/>
      </c>
      <c r="F60" s="115" t="n"/>
      <c r="G60" s="116">
        <f>IF($M60="","",IF(INDEX('Häutungen'!$D$7:$D$1006,$M60)="","",INDEX('Häutungen'!$D$7:$D$1006,$M60)))</f>
        <v/>
      </c>
      <c r="H60" s="115" t="n"/>
      <c r="I60" s="117">
        <f>IF($M60="","",IF(INDEX('Häutungen'!$E$7:$E$1006,$M60)="Ja","✓","")&amp;IF(INDEX('Häutungen'!$F$7:$F$1006,$M60)="weiblich"," ♀",IF(INDEX('Häutungen'!$F$7:$F$1006,$M60)="männlich"," ♂","")))</f>
        <v/>
      </c>
      <c r="J60" s="118">
        <f>IF($M60="","",IF(INDEX('Häutungen'!$G$7:$G$1006,$M60)="","",INDEX('Häutungen'!$G$7:$G$1006,$M60)))</f>
        <v/>
      </c>
      <c r="K60" s="115" t="n"/>
      <c r="L60" s="1" t="n"/>
      <c r="M60" s="1">
        <f>IFERROR(MATCH($C$5&amp;"|"&amp;30,'Häutungen'!$L$7:$L$1006,0),"")</f>
        <v/>
      </c>
    </row>
    <row r="61" ht="22" customHeight="1">
      <c r="A61" s="1" t="n"/>
      <c r="B61" s="111">
        <f>IF($M61="","",31)</f>
        <v/>
      </c>
      <c r="C61" s="112">
        <f>IF($M61="","",IF(INDEX('Häutungen'!$C$7:$C$1006,$M61)="","",INDEX('Häutungen'!$C$7:$C$1006,$M61)))</f>
        <v/>
      </c>
      <c r="D61" s="113">
        <f>IF($M61="","",IF(INDEX('Häutungen'!$I$7:$I$1006,$M61)="","",INDEX('Häutungen'!$I$7:$I$1006,$M61)))</f>
        <v/>
      </c>
      <c r="E61" s="114">
        <f>IF($M61="","",IF(INDEX('Häutungen'!$J$7:$J$1006,$M61)="","",INDEX('Häutungen'!$J$7:$J$1006,$M61)))</f>
        <v/>
      </c>
      <c r="F61" s="115" t="n"/>
      <c r="G61" s="116">
        <f>IF($M61="","",IF(INDEX('Häutungen'!$D$7:$D$1006,$M61)="","",INDEX('Häutungen'!$D$7:$D$1006,$M61)))</f>
        <v/>
      </c>
      <c r="H61" s="115" t="n"/>
      <c r="I61" s="117">
        <f>IF($M61="","",IF(INDEX('Häutungen'!$E$7:$E$1006,$M61)="Ja","✓","")&amp;IF(INDEX('Häutungen'!$F$7:$F$1006,$M61)="weiblich"," ♀",IF(INDEX('Häutungen'!$F$7:$F$1006,$M61)="männlich"," ♂","")))</f>
        <v/>
      </c>
      <c r="J61" s="118">
        <f>IF($M61="","",IF(INDEX('Häutungen'!$G$7:$G$1006,$M61)="","",INDEX('Häutungen'!$G$7:$G$1006,$M61)))</f>
        <v/>
      </c>
      <c r="K61" s="115" t="n"/>
      <c r="L61" s="1" t="n"/>
      <c r="M61" s="1">
        <f>IFERROR(MATCH($C$5&amp;"|"&amp;31,'Häutungen'!$L$7:$L$1006,0),"")</f>
        <v/>
      </c>
    </row>
    <row r="62" ht="22" customHeight="1">
      <c r="A62" s="1" t="n"/>
      <c r="B62" s="111">
        <f>IF($M62="","",32)</f>
        <v/>
      </c>
      <c r="C62" s="112">
        <f>IF($M62="","",IF(INDEX('Häutungen'!$C$7:$C$1006,$M62)="","",INDEX('Häutungen'!$C$7:$C$1006,$M62)))</f>
        <v/>
      </c>
      <c r="D62" s="113">
        <f>IF($M62="","",IF(INDEX('Häutungen'!$I$7:$I$1006,$M62)="","",INDEX('Häutungen'!$I$7:$I$1006,$M62)))</f>
        <v/>
      </c>
      <c r="E62" s="114">
        <f>IF($M62="","",IF(INDEX('Häutungen'!$J$7:$J$1006,$M62)="","",INDEX('Häutungen'!$J$7:$J$1006,$M62)))</f>
        <v/>
      </c>
      <c r="F62" s="115" t="n"/>
      <c r="G62" s="116">
        <f>IF($M62="","",IF(INDEX('Häutungen'!$D$7:$D$1006,$M62)="","",INDEX('Häutungen'!$D$7:$D$1006,$M62)))</f>
        <v/>
      </c>
      <c r="H62" s="115" t="n"/>
      <c r="I62" s="117">
        <f>IF($M62="","",IF(INDEX('Häutungen'!$E$7:$E$1006,$M62)="Ja","✓","")&amp;IF(INDEX('Häutungen'!$F$7:$F$1006,$M62)="weiblich"," ♀",IF(INDEX('Häutungen'!$F$7:$F$1006,$M62)="männlich"," ♂","")))</f>
        <v/>
      </c>
      <c r="J62" s="118">
        <f>IF($M62="","",IF(INDEX('Häutungen'!$G$7:$G$1006,$M62)="","",INDEX('Häutungen'!$G$7:$G$1006,$M62)))</f>
        <v/>
      </c>
      <c r="K62" s="115" t="n"/>
      <c r="L62" s="1" t="n"/>
      <c r="M62" s="1">
        <f>IFERROR(MATCH($C$5&amp;"|"&amp;32,'Häutungen'!$L$7:$L$1006,0),"")</f>
        <v/>
      </c>
    </row>
    <row r="63" ht="22" customHeight="1">
      <c r="A63" s="1" t="n"/>
      <c r="B63" s="111">
        <f>IF($M63="","",33)</f>
        <v/>
      </c>
      <c r="C63" s="112">
        <f>IF($M63="","",IF(INDEX('Häutungen'!$C$7:$C$1006,$M63)="","",INDEX('Häutungen'!$C$7:$C$1006,$M63)))</f>
        <v/>
      </c>
      <c r="D63" s="113">
        <f>IF($M63="","",IF(INDEX('Häutungen'!$I$7:$I$1006,$M63)="","",INDEX('Häutungen'!$I$7:$I$1006,$M63)))</f>
        <v/>
      </c>
      <c r="E63" s="114">
        <f>IF($M63="","",IF(INDEX('Häutungen'!$J$7:$J$1006,$M63)="","",INDEX('Häutungen'!$J$7:$J$1006,$M63)))</f>
        <v/>
      </c>
      <c r="F63" s="115" t="n"/>
      <c r="G63" s="116">
        <f>IF($M63="","",IF(INDEX('Häutungen'!$D$7:$D$1006,$M63)="","",INDEX('Häutungen'!$D$7:$D$1006,$M63)))</f>
        <v/>
      </c>
      <c r="H63" s="115" t="n"/>
      <c r="I63" s="117">
        <f>IF($M63="","",IF(INDEX('Häutungen'!$E$7:$E$1006,$M63)="Ja","✓","")&amp;IF(INDEX('Häutungen'!$F$7:$F$1006,$M63)="weiblich"," ♀",IF(INDEX('Häutungen'!$F$7:$F$1006,$M63)="männlich"," ♂","")))</f>
        <v/>
      </c>
      <c r="J63" s="118">
        <f>IF($M63="","",IF(INDEX('Häutungen'!$G$7:$G$1006,$M63)="","",INDEX('Häutungen'!$G$7:$G$1006,$M63)))</f>
        <v/>
      </c>
      <c r="K63" s="115" t="n"/>
      <c r="L63" s="1" t="n"/>
      <c r="M63" s="1">
        <f>IFERROR(MATCH($C$5&amp;"|"&amp;33,'Häutungen'!$L$7:$L$1006,0),"")</f>
        <v/>
      </c>
    </row>
    <row r="64" ht="22" customHeight="1">
      <c r="A64" s="1" t="n"/>
      <c r="B64" s="111">
        <f>IF($M64="","",34)</f>
        <v/>
      </c>
      <c r="C64" s="112">
        <f>IF($M64="","",IF(INDEX('Häutungen'!$C$7:$C$1006,$M64)="","",INDEX('Häutungen'!$C$7:$C$1006,$M64)))</f>
        <v/>
      </c>
      <c r="D64" s="113">
        <f>IF($M64="","",IF(INDEX('Häutungen'!$I$7:$I$1006,$M64)="","",INDEX('Häutungen'!$I$7:$I$1006,$M64)))</f>
        <v/>
      </c>
      <c r="E64" s="114">
        <f>IF($M64="","",IF(INDEX('Häutungen'!$J$7:$J$1006,$M64)="","",INDEX('Häutungen'!$J$7:$J$1006,$M64)))</f>
        <v/>
      </c>
      <c r="F64" s="115" t="n"/>
      <c r="G64" s="116">
        <f>IF($M64="","",IF(INDEX('Häutungen'!$D$7:$D$1006,$M64)="","",INDEX('Häutungen'!$D$7:$D$1006,$M64)))</f>
        <v/>
      </c>
      <c r="H64" s="115" t="n"/>
      <c r="I64" s="117">
        <f>IF($M64="","",IF(INDEX('Häutungen'!$E$7:$E$1006,$M64)="Ja","✓","")&amp;IF(INDEX('Häutungen'!$F$7:$F$1006,$M64)="weiblich"," ♀",IF(INDEX('Häutungen'!$F$7:$F$1006,$M64)="männlich"," ♂","")))</f>
        <v/>
      </c>
      <c r="J64" s="118">
        <f>IF($M64="","",IF(INDEX('Häutungen'!$G$7:$G$1006,$M64)="","",INDEX('Häutungen'!$G$7:$G$1006,$M64)))</f>
        <v/>
      </c>
      <c r="K64" s="115" t="n"/>
      <c r="L64" s="1" t="n"/>
      <c r="M64" s="1">
        <f>IFERROR(MATCH($C$5&amp;"|"&amp;34,'Häutungen'!$L$7:$L$1006,0),"")</f>
        <v/>
      </c>
    </row>
    <row r="65" ht="22" customHeight="1">
      <c r="A65" s="1" t="n"/>
      <c r="B65" s="111">
        <f>IF($M65="","",35)</f>
        <v/>
      </c>
      <c r="C65" s="112">
        <f>IF($M65="","",IF(INDEX('Häutungen'!$C$7:$C$1006,$M65)="","",INDEX('Häutungen'!$C$7:$C$1006,$M65)))</f>
        <v/>
      </c>
      <c r="D65" s="113">
        <f>IF($M65="","",IF(INDEX('Häutungen'!$I$7:$I$1006,$M65)="","",INDEX('Häutungen'!$I$7:$I$1006,$M65)))</f>
        <v/>
      </c>
      <c r="E65" s="114">
        <f>IF($M65="","",IF(INDEX('Häutungen'!$J$7:$J$1006,$M65)="","",INDEX('Häutungen'!$J$7:$J$1006,$M65)))</f>
        <v/>
      </c>
      <c r="F65" s="115" t="n"/>
      <c r="G65" s="116">
        <f>IF($M65="","",IF(INDEX('Häutungen'!$D$7:$D$1006,$M65)="","",INDEX('Häutungen'!$D$7:$D$1006,$M65)))</f>
        <v/>
      </c>
      <c r="H65" s="115" t="n"/>
      <c r="I65" s="117">
        <f>IF($M65="","",IF(INDEX('Häutungen'!$E$7:$E$1006,$M65)="Ja","✓","")&amp;IF(INDEX('Häutungen'!$F$7:$F$1006,$M65)="weiblich"," ♀",IF(INDEX('Häutungen'!$F$7:$F$1006,$M65)="männlich"," ♂","")))</f>
        <v/>
      </c>
      <c r="J65" s="118">
        <f>IF($M65="","",IF(INDEX('Häutungen'!$G$7:$G$1006,$M65)="","",INDEX('Häutungen'!$G$7:$G$1006,$M65)))</f>
        <v/>
      </c>
      <c r="K65" s="115" t="n"/>
      <c r="L65" s="1" t="n"/>
      <c r="M65" s="1">
        <f>IFERROR(MATCH($C$5&amp;"|"&amp;35,'Häutungen'!$L$7:$L$1006,0),"")</f>
        <v/>
      </c>
    </row>
    <row r="66" ht="22" customHeight="1">
      <c r="A66" s="1" t="n"/>
      <c r="B66" s="111">
        <f>IF($M66="","",36)</f>
        <v/>
      </c>
      <c r="C66" s="112">
        <f>IF($M66="","",IF(INDEX('Häutungen'!$C$7:$C$1006,$M66)="","",INDEX('Häutungen'!$C$7:$C$1006,$M66)))</f>
        <v/>
      </c>
      <c r="D66" s="113">
        <f>IF($M66="","",IF(INDEX('Häutungen'!$I$7:$I$1006,$M66)="","",INDEX('Häutungen'!$I$7:$I$1006,$M66)))</f>
        <v/>
      </c>
      <c r="E66" s="114">
        <f>IF($M66="","",IF(INDEX('Häutungen'!$J$7:$J$1006,$M66)="","",INDEX('Häutungen'!$J$7:$J$1006,$M66)))</f>
        <v/>
      </c>
      <c r="F66" s="115" t="n"/>
      <c r="G66" s="116">
        <f>IF($M66="","",IF(INDEX('Häutungen'!$D$7:$D$1006,$M66)="","",INDEX('Häutungen'!$D$7:$D$1006,$M66)))</f>
        <v/>
      </c>
      <c r="H66" s="115" t="n"/>
      <c r="I66" s="117">
        <f>IF($M66="","",IF(INDEX('Häutungen'!$E$7:$E$1006,$M66)="Ja","✓","")&amp;IF(INDEX('Häutungen'!$F$7:$F$1006,$M66)="weiblich"," ♀",IF(INDEX('Häutungen'!$F$7:$F$1006,$M66)="männlich"," ♂","")))</f>
        <v/>
      </c>
      <c r="J66" s="118">
        <f>IF($M66="","",IF(INDEX('Häutungen'!$G$7:$G$1006,$M66)="","",INDEX('Häutungen'!$G$7:$G$1006,$M66)))</f>
        <v/>
      </c>
      <c r="K66" s="115" t="n"/>
      <c r="L66" s="1" t="n"/>
      <c r="M66" s="1">
        <f>IFERROR(MATCH($C$5&amp;"|"&amp;36,'Häutungen'!$L$7:$L$1006,0),"")</f>
        <v/>
      </c>
    </row>
    <row r="67" ht="22" customHeight="1">
      <c r="A67" s="1" t="n"/>
      <c r="B67" s="111">
        <f>IF($M67="","",37)</f>
        <v/>
      </c>
      <c r="C67" s="112">
        <f>IF($M67="","",IF(INDEX('Häutungen'!$C$7:$C$1006,$M67)="","",INDEX('Häutungen'!$C$7:$C$1006,$M67)))</f>
        <v/>
      </c>
      <c r="D67" s="113">
        <f>IF($M67="","",IF(INDEX('Häutungen'!$I$7:$I$1006,$M67)="","",INDEX('Häutungen'!$I$7:$I$1006,$M67)))</f>
        <v/>
      </c>
      <c r="E67" s="114">
        <f>IF($M67="","",IF(INDEX('Häutungen'!$J$7:$J$1006,$M67)="","",INDEX('Häutungen'!$J$7:$J$1006,$M67)))</f>
        <v/>
      </c>
      <c r="F67" s="115" t="n"/>
      <c r="G67" s="116">
        <f>IF($M67="","",IF(INDEX('Häutungen'!$D$7:$D$1006,$M67)="","",INDEX('Häutungen'!$D$7:$D$1006,$M67)))</f>
        <v/>
      </c>
      <c r="H67" s="115" t="n"/>
      <c r="I67" s="117">
        <f>IF($M67="","",IF(INDEX('Häutungen'!$E$7:$E$1006,$M67)="Ja","✓","")&amp;IF(INDEX('Häutungen'!$F$7:$F$1006,$M67)="weiblich"," ♀",IF(INDEX('Häutungen'!$F$7:$F$1006,$M67)="männlich"," ♂","")))</f>
        <v/>
      </c>
      <c r="J67" s="118">
        <f>IF($M67="","",IF(INDEX('Häutungen'!$G$7:$G$1006,$M67)="","",INDEX('Häutungen'!$G$7:$G$1006,$M67)))</f>
        <v/>
      </c>
      <c r="K67" s="115" t="n"/>
      <c r="L67" s="1" t="n"/>
      <c r="M67" s="1">
        <f>IFERROR(MATCH($C$5&amp;"|"&amp;37,'Häutungen'!$L$7:$L$1006,0),"")</f>
        <v/>
      </c>
    </row>
    <row r="68" ht="22" customHeight="1">
      <c r="A68" s="1" t="n"/>
      <c r="B68" s="111">
        <f>IF($M68="","",38)</f>
        <v/>
      </c>
      <c r="C68" s="112">
        <f>IF($M68="","",IF(INDEX('Häutungen'!$C$7:$C$1006,$M68)="","",INDEX('Häutungen'!$C$7:$C$1006,$M68)))</f>
        <v/>
      </c>
      <c r="D68" s="113">
        <f>IF($M68="","",IF(INDEX('Häutungen'!$I$7:$I$1006,$M68)="","",INDEX('Häutungen'!$I$7:$I$1006,$M68)))</f>
        <v/>
      </c>
      <c r="E68" s="114">
        <f>IF($M68="","",IF(INDEX('Häutungen'!$J$7:$J$1006,$M68)="","",INDEX('Häutungen'!$J$7:$J$1006,$M68)))</f>
        <v/>
      </c>
      <c r="F68" s="115" t="n"/>
      <c r="G68" s="116">
        <f>IF($M68="","",IF(INDEX('Häutungen'!$D$7:$D$1006,$M68)="","",INDEX('Häutungen'!$D$7:$D$1006,$M68)))</f>
        <v/>
      </c>
      <c r="H68" s="115" t="n"/>
      <c r="I68" s="117">
        <f>IF($M68="","",IF(INDEX('Häutungen'!$E$7:$E$1006,$M68)="Ja","✓","")&amp;IF(INDEX('Häutungen'!$F$7:$F$1006,$M68)="weiblich"," ♀",IF(INDEX('Häutungen'!$F$7:$F$1006,$M68)="männlich"," ♂","")))</f>
        <v/>
      </c>
      <c r="J68" s="118">
        <f>IF($M68="","",IF(INDEX('Häutungen'!$G$7:$G$1006,$M68)="","",INDEX('Häutungen'!$G$7:$G$1006,$M68)))</f>
        <v/>
      </c>
      <c r="K68" s="115" t="n"/>
      <c r="L68" s="1" t="n"/>
      <c r="M68" s="1">
        <f>IFERROR(MATCH($C$5&amp;"|"&amp;38,'Häutungen'!$L$7:$L$1006,0),"")</f>
        <v/>
      </c>
    </row>
    <row r="69" ht="22" customHeight="1">
      <c r="A69" s="1" t="n"/>
      <c r="B69" s="111">
        <f>IF($M69="","",39)</f>
        <v/>
      </c>
      <c r="C69" s="112">
        <f>IF($M69="","",IF(INDEX('Häutungen'!$C$7:$C$1006,$M69)="","",INDEX('Häutungen'!$C$7:$C$1006,$M69)))</f>
        <v/>
      </c>
      <c r="D69" s="113">
        <f>IF($M69="","",IF(INDEX('Häutungen'!$I$7:$I$1006,$M69)="","",INDEX('Häutungen'!$I$7:$I$1006,$M69)))</f>
        <v/>
      </c>
      <c r="E69" s="114">
        <f>IF($M69="","",IF(INDEX('Häutungen'!$J$7:$J$1006,$M69)="","",INDEX('Häutungen'!$J$7:$J$1006,$M69)))</f>
        <v/>
      </c>
      <c r="F69" s="115" t="n"/>
      <c r="G69" s="116">
        <f>IF($M69="","",IF(INDEX('Häutungen'!$D$7:$D$1006,$M69)="","",INDEX('Häutungen'!$D$7:$D$1006,$M69)))</f>
        <v/>
      </c>
      <c r="H69" s="115" t="n"/>
      <c r="I69" s="117">
        <f>IF($M69="","",IF(INDEX('Häutungen'!$E$7:$E$1006,$M69)="Ja","✓","")&amp;IF(INDEX('Häutungen'!$F$7:$F$1006,$M69)="weiblich"," ♀",IF(INDEX('Häutungen'!$F$7:$F$1006,$M69)="männlich"," ♂","")))</f>
        <v/>
      </c>
      <c r="J69" s="118">
        <f>IF($M69="","",IF(INDEX('Häutungen'!$G$7:$G$1006,$M69)="","",INDEX('Häutungen'!$G$7:$G$1006,$M69)))</f>
        <v/>
      </c>
      <c r="K69" s="115" t="n"/>
      <c r="L69" s="1" t="n"/>
      <c r="M69" s="1">
        <f>IFERROR(MATCH($C$5&amp;"|"&amp;39,'Häutungen'!$L$7:$L$1006,0),"")</f>
        <v/>
      </c>
    </row>
    <row r="70" ht="22" customHeight="1">
      <c r="A70" s="1" t="n"/>
      <c r="B70" s="111">
        <f>IF($M70="","",40)</f>
        <v/>
      </c>
      <c r="C70" s="112">
        <f>IF($M70="","",IF(INDEX('Häutungen'!$C$7:$C$1006,$M70)="","",INDEX('Häutungen'!$C$7:$C$1006,$M70)))</f>
        <v/>
      </c>
      <c r="D70" s="113">
        <f>IF($M70="","",IF(INDEX('Häutungen'!$I$7:$I$1006,$M70)="","",INDEX('Häutungen'!$I$7:$I$1006,$M70)))</f>
        <v/>
      </c>
      <c r="E70" s="114">
        <f>IF($M70="","",IF(INDEX('Häutungen'!$J$7:$J$1006,$M70)="","",INDEX('Häutungen'!$J$7:$J$1006,$M70)))</f>
        <v/>
      </c>
      <c r="F70" s="115" t="n"/>
      <c r="G70" s="116">
        <f>IF($M70="","",IF(INDEX('Häutungen'!$D$7:$D$1006,$M70)="","",INDEX('Häutungen'!$D$7:$D$1006,$M70)))</f>
        <v/>
      </c>
      <c r="H70" s="115" t="n"/>
      <c r="I70" s="117">
        <f>IF($M70="","",IF(INDEX('Häutungen'!$E$7:$E$1006,$M70)="Ja","✓","")&amp;IF(INDEX('Häutungen'!$F$7:$F$1006,$M70)="weiblich"," ♀",IF(INDEX('Häutungen'!$F$7:$F$1006,$M70)="männlich"," ♂","")))</f>
        <v/>
      </c>
      <c r="J70" s="118">
        <f>IF($M70="","",IF(INDEX('Häutungen'!$G$7:$G$1006,$M70)="","",INDEX('Häutungen'!$G$7:$G$1006,$M70)))</f>
        <v/>
      </c>
      <c r="K70" s="115" t="n"/>
      <c r="L70" s="1" t="n"/>
      <c r="M70" s="1">
        <f>IFERROR(MATCH($C$5&amp;"|"&amp;40,'Häutungen'!$L$7:$L$1006,0),"")</f>
        <v/>
      </c>
    </row>
    <row r="71" ht="22" customHeight="1">
      <c r="A71" s="1" t="n"/>
      <c r="B71" s="111">
        <f>IF($M71="","",41)</f>
        <v/>
      </c>
      <c r="C71" s="112">
        <f>IF($M71="","",IF(INDEX('Häutungen'!$C$7:$C$1006,$M71)="","",INDEX('Häutungen'!$C$7:$C$1006,$M71)))</f>
        <v/>
      </c>
      <c r="D71" s="113">
        <f>IF($M71="","",IF(INDEX('Häutungen'!$I$7:$I$1006,$M71)="","",INDEX('Häutungen'!$I$7:$I$1006,$M71)))</f>
        <v/>
      </c>
      <c r="E71" s="114">
        <f>IF($M71="","",IF(INDEX('Häutungen'!$J$7:$J$1006,$M71)="","",INDEX('Häutungen'!$J$7:$J$1006,$M71)))</f>
        <v/>
      </c>
      <c r="F71" s="115" t="n"/>
      <c r="G71" s="116">
        <f>IF($M71="","",IF(INDEX('Häutungen'!$D$7:$D$1006,$M71)="","",INDEX('Häutungen'!$D$7:$D$1006,$M71)))</f>
        <v/>
      </c>
      <c r="H71" s="115" t="n"/>
      <c r="I71" s="117">
        <f>IF($M71="","",IF(INDEX('Häutungen'!$E$7:$E$1006,$M71)="Ja","✓","")&amp;IF(INDEX('Häutungen'!$F$7:$F$1006,$M71)="weiblich"," ♀",IF(INDEX('Häutungen'!$F$7:$F$1006,$M71)="männlich"," ♂","")))</f>
        <v/>
      </c>
      <c r="J71" s="118">
        <f>IF($M71="","",IF(INDEX('Häutungen'!$G$7:$G$1006,$M71)="","",INDEX('Häutungen'!$G$7:$G$1006,$M71)))</f>
        <v/>
      </c>
      <c r="K71" s="115" t="n"/>
      <c r="L71" s="1" t="n"/>
      <c r="M71" s="1">
        <f>IFERROR(MATCH($C$5&amp;"|"&amp;41,'Häutungen'!$L$7:$L$1006,0),"")</f>
        <v/>
      </c>
    </row>
    <row r="72" ht="22" customHeight="1">
      <c r="A72" s="1" t="n"/>
      <c r="B72" s="111">
        <f>IF($M72="","",42)</f>
        <v/>
      </c>
      <c r="C72" s="112">
        <f>IF($M72="","",IF(INDEX('Häutungen'!$C$7:$C$1006,$M72)="","",INDEX('Häutungen'!$C$7:$C$1006,$M72)))</f>
        <v/>
      </c>
      <c r="D72" s="113">
        <f>IF($M72="","",IF(INDEX('Häutungen'!$I$7:$I$1006,$M72)="","",INDEX('Häutungen'!$I$7:$I$1006,$M72)))</f>
        <v/>
      </c>
      <c r="E72" s="114">
        <f>IF($M72="","",IF(INDEX('Häutungen'!$J$7:$J$1006,$M72)="","",INDEX('Häutungen'!$J$7:$J$1006,$M72)))</f>
        <v/>
      </c>
      <c r="F72" s="115" t="n"/>
      <c r="G72" s="116">
        <f>IF($M72="","",IF(INDEX('Häutungen'!$D$7:$D$1006,$M72)="","",INDEX('Häutungen'!$D$7:$D$1006,$M72)))</f>
        <v/>
      </c>
      <c r="H72" s="115" t="n"/>
      <c r="I72" s="117">
        <f>IF($M72="","",IF(INDEX('Häutungen'!$E$7:$E$1006,$M72)="Ja","✓","")&amp;IF(INDEX('Häutungen'!$F$7:$F$1006,$M72)="weiblich"," ♀",IF(INDEX('Häutungen'!$F$7:$F$1006,$M72)="männlich"," ♂","")))</f>
        <v/>
      </c>
      <c r="J72" s="118">
        <f>IF($M72="","",IF(INDEX('Häutungen'!$G$7:$G$1006,$M72)="","",INDEX('Häutungen'!$G$7:$G$1006,$M72)))</f>
        <v/>
      </c>
      <c r="K72" s="115" t="n"/>
      <c r="L72" s="1" t="n"/>
      <c r="M72" s="1">
        <f>IFERROR(MATCH($C$5&amp;"|"&amp;42,'Häutungen'!$L$7:$L$1006,0),"")</f>
        <v/>
      </c>
    </row>
    <row r="73" ht="22" customHeight="1">
      <c r="A73" s="1" t="n"/>
      <c r="B73" s="111">
        <f>IF($M73="","",43)</f>
        <v/>
      </c>
      <c r="C73" s="112">
        <f>IF($M73="","",IF(INDEX('Häutungen'!$C$7:$C$1006,$M73)="","",INDEX('Häutungen'!$C$7:$C$1006,$M73)))</f>
        <v/>
      </c>
      <c r="D73" s="113">
        <f>IF($M73="","",IF(INDEX('Häutungen'!$I$7:$I$1006,$M73)="","",INDEX('Häutungen'!$I$7:$I$1006,$M73)))</f>
        <v/>
      </c>
      <c r="E73" s="114">
        <f>IF($M73="","",IF(INDEX('Häutungen'!$J$7:$J$1006,$M73)="","",INDEX('Häutungen'!$J$7:$J$1006,$M73)))</f>
        <v/>
      </c>
      <c r="F73" s="115" t="n"/>
      <c r="G73" s="116">
        <f>IF($M73="","",IF(INDEX('Häutungen'!$D$7:$D$1006,$M73)="","",INDEX('Häutungen'!$D$7:$D$1006,$M73)))</f>
        <v/>
      </c>
      <c r="H73" s="115" t="n"/>
      <c r="I73" s="117">
        <f>IF($M73="","",IF(INDEX('Häutungen'!$E$7:$E$1006,$M73)="Ja","✓","")&amp;IF(INDEX('Häutungen'!$F$7:$F$1006,$M73)="weiblich"," ♀",IF(INDEX('Häutungen'!$F$7:$F$1006,$M73)="männlich"," ♂","")))</f>
        <v/>
      </c>
      <c r="J73" s="118">
        <f>IF($M73="","",IF(INDEX('Häutungen'!$G$7:$G$1006,$M73)="","",INDEX('Häutungen'!$G$7:$G$1006,$M73)))</f>
        <v/>
      </c>
      <c r="K73" s="115" t="n"/>
      <c r="L73" s="1" t="n"/>
      <c r="M73" s="1">
        <f>IFERROR(MATCH($C$5&amp;"|"&amp;43,'Häutungen'!$L$7:$L$1006,0),"")</f>
        <v/>
      </c>
    </row>
    <row r="74" ht="22" customHeight="1">
      <c r="A74" s="1" t="n"/>
      <c r="B74" s="111">
        <f>IF($M74="","",44)</f>
        <v/>
      </c>
      <c r="C74" s="112">
        <f>IF($M74="","",IF(INDEX('Häutungen'!$C$7:$C$1006,$M74)="","",INDEX('Häutungen'!$C$7:$C$1006,$M74)))</f>
        <v/>
      </c>
      <c r="D74" s="113">
        <f>IF($M74="","",IF(INDEX('Häutungen'!$I$7:$I$1006,$M74)="","",INDEX('Häutungen'!$I$7:$I$1006,$M74)))</f>
        <v/>
      </c>
      <c r="E74" s="114">
        <f>IF($M74="","",IF(INDEX('Häutungen'!$J$7:$J$1006,$M74)="","",INDEX('Häutungen'!$J$7:$J$1006,$M74)))</f>
        <v/>
      </c>
      <c r="F74" s="115" t="n"/>
      <c r="G74" s="116">
        <f>IF($M74="","",IF(INDEX('Häutungen'!$D$7:$D$1006,$M74)="","",INDEX('Häutungen'!$D$7:$D$1006,$M74)))</f>
        <v/>
      </c>
      <c r="H74" s="115" t="n"/>
      <c r="I74" s="117">
        <f>IF($M74="","",IF(INDEX('Häutungen'!$E$7:$E$1006,$M74)="Ja","✓","")&amp;IF(INDEX('Häutungen'!$F$7:$F$1006,$M74)="weiblich"," ♀",IF(INDEX('Häutungen'!$F$7:$F$1006,$M74)="männlich"," ♂","")))</f>
        <v/>
      </c>
      <c r="J74" s="118">
        <f>IF($M74="","",IF(INDEX('Häutungen'!$G$7:$G$1006,$M74)="","",INDEX('Häutungen'!$G$7:$G$1006,$M74)))</f>
        <v/>
      </c>
      <c r="K74" s="115" t="n"/>
      <c r="L74" s="1" t="n"/>
      <c r="M74" s="1">
        <f>IFERROR(MATCH($C$5&amp;"|"&amp;44,'Häutungen'!$L$7:$L$1006,0),"")</f>
        <v/>
      </c>
    </row>
    <row r="75" ht="22" customHeight="1">
      <c r="A75" s="1" t="n"/>
      <c r="B75" s="111">
        <f>IF($M75="","",45)</f>
        <v/>
      </c>
      <c r="C75" s="112">
        <f>IF($M75="","",IF(INDEX('Häutungen'!$C$7:$C$1006,$M75)="","",INDEX('Häutungen'!$C$7:$C$1006,$M75)))</f>
        <v/>
      </c>
      <c r="D75" s="113">
        <f>IF($M75="","",IF(INDEX('Häutungen'!$I$7:$I$1006,$M75)="","",INDEX('Häutungen'!$I$7:$I$1006,$M75)))</f>
        <v/>
      </c>
      <c r="E75" s="114">
        <f>IF($M75="","",IF(INDEX('Häutungen'!$J$7:$J$1006,$M75)="","",INDEX('Häutungen'!$J$7:$J$1006,$M75)))</f>
        <v/>
      </c>
      <c r="F75" s="115" t="n"/>
      <c r="G75" s="116">
        <f>IF($M75="","",IF(INDEX('Häutungen'!$D$7:$D$1006,$M75)="","",INDEX('Häutungen'!$D$7:$D$1006,$M75)))</f>
        <v/>
      </c>
      <c r="H75" s="115" t="n"/>
      <c r="I75" s="117">
        <f>IF($M75="","",IF(INDEX('Häutungen'!$E$7:$E$1006,$M75)="Ja","✓","")&amp;IF(INDEX('Häutungen'!$F$7:$F$1006,$M75)="weiblich"," ♀",IF(INDEX('Häutungen'!$F$7:$F$1006,$M75)="männlich"," ♂","")))</f>
        <v/>
      </c>
      <c r="J75" s="118">
        <f>IF($M75="","",IF(INDEX('Häutungen'!$G$7:$G$1006,$M75)="","",INDEX('Häutungen'!$G$7:$G$1006,$M75)))</f>
        <v/>
      </c>
      <c r="K75" s="115" t="n"/>
      <c r="L75" s="1" t="n"/>
      <c r="M75" s="1">
        <f>IFERROR(MATCH($C$5&amp;"|"&amp;45,'Häutungen'!$L$7:$L$1006,0),"")</f>
        <v/>
      </c>
    </row>
    <row r="76" ht="22" customHeight="1">
      <c r="A76" s="1" t="n"/>
      <c r="B76" s="111">
        <f>IF($M76="","",46)</f>
        <v/>
      </c>
      <c r="C76" s="112">
        <f>IF($M76="","",IF(INDEX('Häutungen'!$C$7:$C$1006,$M76)="","",INDEX('Häutungen'!$C$7:$C$1006,$M76)))</f>
        <v/>
      </c>
      <c r="D76" s="113">
        <f>IF($M76="","",IF(INDEX('Häutungen'!$I$7:$I$1006,$M76)="","",INDEX('Häutungen'!$I$7:$I$1006,$M76)))</f>
        <v/>
      </c>
      <c r="E76" s="114">
        <f>IF($M76="","",IF(INDEX('Häutungen'!$J$7:$J$1006,$M76)="","",INDEX('Häutungen'!$J$7:$J$1006,$M76)))</f>
        <v/>
      </c>
      <c r="F76" s="115" t="n"/>
      <c r="G76" s="116">
        <f>IF($M76="","",IF(INDEX('Häutungen'!$D$7:$D$1006,$M76)="","",INDEX('Häutungen'!$D$7:$D$1006,$M76)))</f>
        <v/>
      </c>
      <c r="H76" s="115" t="n"/>
      <c r="I76" s="117">
        <f>IF($M76="","",IF(INDEX('Häutungen'!$E$7:$E$1006,$M76)="Ja","✓","")&amp;IF(INDEX('Häutungen'!$F$7:$F$1006,$M76)="weiblich"," ♀",IF(INDEX('Häutungen'!$F$7:$F$1006,$M76)="männlich"," ♂","")))</f>
        <v/>
      </c>
      <c r="J76" s="118">
        <f>IF($M76="","",IF(INDEX('Häutungen'!$G$7:$G$1006,$M76)="","",INDEX('Häutungen'!$G$7:$G$1006,$M76)))</f>
        <v/>
      </c>
      <c r="K76" s="115" t="n"/>
      <c r="L76" s="1" t="n"/>
      <c r="M76" s="1">
        <f>IFERROR(MATCH($C$5&amp;"|"&amp;46,'Häutungen'!$L$7:$L$1006,0),"")</f>
        <v/>
      </c>
    </row>
    <row r="77" ht="22" customHeight="1">
      <c r="A77" s="1" t="n"/>
      <c r="B77" s="111">
        <f>IF($M77="","",47)</f>
        <v/>
      </c>
      <c r="C77" s="112">
        <f>IF($M77="","",IF(INDEX('Häutungen'!$C$7:$C$1006,$M77)="","",INDEX('Häutungen'!$C$7:$C$1006,$M77)))</f>
        <v/>
      </c>
      <c r="D77" s="113">
        <f>IF($M77="","",IF(INDEX('Häutungen'!$I$7:$I$1006,$M77)="","",INDEX('Häutungen'!$I$7:$I$1006,$M77)))</f>
        <v/>
      </c>
      <c r="E77" s="114">
        <f>IF($M77="","",IF(INDEX('Häutungen'!$J$7:$J$1006,$M77)="","",INDEX('Häutungen'!$J$7:$J$1006,$M77)))</f>
        <v/>
      </c>
      <c r="F77" s="115" t="n"/>
      <c r="G77" s="116">
        <f>IF($M77="","",IF(INDEX('Häutungen'!$D$7:$D$1006,$M77)="","",INDEX('Häutungen'!$D$7:$D$1006,$M77)))</f>
        <v/>
      </c>
      <c r="H77" s="115" t="n"/>
      <c r="I77" s="117">
        <f>IF($M77="","",IF(INDEX('Häutungen'!$E$7:$E$1006,$M77)="Ja","✓","")&amp;IF(INDEX('Häutungen'!$F$7:$F$1006,$M77)="weiblich"," ♀",IF(INDEX('Häutungen'!$F$7:$F$1006,$M77)="männlich"," ♂","")))</f>
        <v/>
      </c>
      <c r="J77" s="118">
        <f>IF($M77="","",IF(INDEX('Häutungen'!$G$7:$G$1006,$M77)="","",INDEX('Häutungen'!$G$7:$G$1006,$M77)))</f>
        <v/>
      </c>
      <c r="K77" s="115" t="n"/>
      <c r="L77" s="1" t="n"/>
      <c r="M77" s="1">
        <f>IFERROR(MATCH($C$5&amp;"|"&amp;47,'Häutungen'!$L$7:$L$1006,0),"")</f>
        <v/>
      </c>
    </row>
    <row r="78" ht="22" customHeight="1">
      <c r="A78" s="1" t="n"/>
      <c r="B78" s="111">
        <f>IF($M78="","",48)</f>
        <v/>
      </c>
      <c r="C78" s="112">
        <f>IF($M78="","",IF(INDEX('Häutungen'!$C$7:$C$1006,$M78)="","",INDEX('Häutungen'!$C$7:$C$1006,$M78)))</f>
        <v/>
      </c>
      <c r="D78" s="113">
        <f>IF($M78="","",IF(INDEX('Häutungen'!$I$7:$I$1006,$M78)="","",INDEX('Häutungen'!$I$7:$I$1006,$M78)))</f>
        <v/>
      </c>
      <c r="E78" s="114">
        <f>IF($M78="","",IF(INDEX('Häutungen'!$J$7:$J$1006,$M78)="","",INDEX('Häutungen'!$J$7:$J$1006,$M78)))</f>
        <v/>
      </c>
      <c r="F78" s="115" t="n"/>
      <c r="G78" s="116">
        <f>IF($M78="","",IF(INDEX('Häutungen'!$D$7:$D$1006,$M78)="","",INDEX('Häutungen'!$D$7:$D$1006,$M78)))</f>
        <v/>
      </c>
      <c r="H78" s="115" t="n"/>
      <c r="I78" s="117">
        <f>IF($M78="","",IF(INDEX('Häutungen'!$E$7:$E$1006,$M78)="Ja","✓","")&amp;IF(INDEX('Häutungen'!$F$7:$F$1006,$M78)="weiblich"," ♀",IF(INDEX('Häutungen'!$F$7:$F$1006,$M78)="männlich"," ♂","")))</f>
        <v/>
      </c>
      <c r="J78" s="118">
        <f>IF($M78="","",IF(INDEX('Häutungen'!$G$7:$G$1006,$M78)="","",INDEX('Häutungen'!$G$7:$G$1006,$M78)))</f>
        <v/>
      </c>
      <c r="K78" s="115" t="n"/>
      <c r="L78" s="1" t="n"/>
      <c r="M78" s="1">
        <f>IFERROR(MATCH($C$5&amp;"|"&amp;48,'Häutungen'!$L$7:$L$1006,0),"")</f>
        <v/>
      </c>
    </row>
    <row r="79" ht="22" customHeight="1">
      <c r="A79" s="1" t="n"/>
      <c r="B79" s="111">
        <f>IF($M79="","",49)</f>
        <v/>
      </c>
      <c r="C79" s="112">
        <f>IF($M79="","",IF(INDEX('Häutungen'!$C$7:$C$1006,$M79)="","",INDEX('Häutungen'!$C$7:$C$1006,$M79)))</f>
        <v/>
      </c>
      <c r="D79" s="113">
        <f>IF($M79="","",IF(INDEX('Häutungen'!$I$7:$I$1006,$M79)="","",INDEX('Häutungen'!$I$7:$I$1006,$M79)))</f>
        <v/>
      </c>
      <c r="E79" s="114">
        <f>IF($M79="","",IF(INDEX('Häutungen'!$J$7:$J$1006,$M79)="","",INDEX('Häutungen'!$J$7:$J$1006,$M79)))</f>
        <v/>
      </c>
      <c r="F79" s="115" t="n"/>
      <c r="G79" s="116">
        <f>IF($M79="","",IF(INDEX('Häutungen'!$D$7:$D$1006,$M79)="","",INDEX('Häutungen'!$D$7:$D$1006,$M79)))</f>
        <v/>
      </c>
      <c r="H79" s="115" t="n"/>
      <c r="I79" s="117">
        <f>IF($M79="","",IF(INDEX('Häutungen'!$E$7:$E$1006,$M79)="Ja","✓","")&amp;IF(INDEX('Häutungen'!$F$7:$F$1006,$M79)="weiblich"," ♀",IF(INDEX('Häutungen'!$F$7:$F$1006,$M79)="männlich"," ♂","")))</f>
        <v/>
      </c>
      <c r="J79" s="118">
        <f>IF($M79="","",IF(INDEX('Häutungen'!$G$7:$G$1006,$M79)="","",INDEX('Häutungen'!$G$7:$G$1006,$M79)))</f>
        <v/>
      </c>
      <c r="K79" s="115" t="n"/>
      <c r="L79" s="1" t="n"/>
      <c r="M79" s="1">
        <f>IFERROR(MATCH($C$5&amp;"|"&amp;49,'Häutungen'!$L$7:$L$1006,0),"")</f>
        <v/>
      </c>
    </row>
    <row r="80" ht="22" customHeight="1">
      <c r="A80" s="1" t="n"/>
      <c r="B80" s="111">
        <f>IF($M80="","",50)</f>
        <v/>
      </c>
      <c r="C80" s="112">
        <f>IF($M80="","",IF(INDEX('Häutungen'!$C$7:$C$1006,$M80)="","",INDEX('Häutungen'!$C$7:$C$1006,$M80)))</f>
        <v/>
      </c>
      <c r="D80" s="113">
        <f>IF($M80="","",IF(INDEX('Häutungen'!$I$7:$I$1006,$M80)="","",INDEX('Häutungen'!$I$7:$I$1006,$M80)))</f>
        <v/>
      </c>
      <c r="E80" s="114">
        <f>IF($M80="","",IF(INDEX('Häutungen'!$J$7:$J$1006,$M80)="","",INDEX('Häutungen'!$J$7:$J$1006,$M80)))</f>
        <v/>
      </c>
      <c r="F80" s="115" t="n"/>
      <c r="G80" s="116">
        <f>IF($M80="","",IF(INDEX('Häutungen'!$D$7:$D$1006,$M80)="","",INDEX('Häutungen'!$D$7:$D$1006,$M80)))</f>
        <v/>
      </c>
      <c r="H80" s="115" t="n"/>
      <c r="I80" s="117">
        <f>IF($M80="","",IF(INDEX('Häutungen'!$E$7:$E$1006,$M80)="Ja","✓","")&amp;IF(INDEX('Häutungen'!$F$7:$F$1006,$M80)="weiblich"," ♀",IF(INDEX('Häutungen'!$F$7:$F$1006,$M80)="männlich"," ♂","")))</f>
        <v/>
      </c>
      <c r="J80" s="118">
        <f>IF($M80="","",IF(INDEX('Häutungen'!$G$7:$G$1006,$M80)="","",INDEX('Häutungen'!$G$7:$G$1006,$M80)))</f>
        <v/>
      </c>
      <c r="K80" s="115" t="n"/>
      <c r="L80" s="1" t="n"/>
      <c r="M80" s="1">
        <f>IFERROR(MATCH($C$5&amp;"|"&amp;50,'Häutungen'!$L$7:$L$1006,0),"")</f>
        <v/>
      </c>
    </row>
    <row r="81" ht="22" customHeight="1">
      <c r="A81" s="1" t="n"/>
      <c r="B81" s="111">
        <f>IF($M81="","",51)</f>
        <v/>
      </c>
      <c r="C81" s="112">
        <f>IF($M81="","",IF(INDEX('Häutungen'!$C$7:$C$1006,$M81)="","",INDEX('Häutungen'!$C$7:$C$1006,$M81)))</f>
        <v/>
      </c>
      <c r="D81" s="113">
        <f>IF($M81="","",IF(INDEX('Häutungen'!$I$7:$I$1006,$M81)="","",INDEX('Häutungen'!$I$7:$I$1006,$M81)))</f>
        <v/>
      </c>
      <c r="E81" s="114">
        <f>IF($M81="","",IF(INDEX('Häutungen'!$J$7:$J$1006,$M81)="","",INDEX('Häutungen'!$J$7:$J$1006,$M81)))</f>
        <v/>
      </c>
      <c r="F81" s="115" t="n"/>
      <c r="G81" s="116">
        <f>IF($M81="","",IF(INDEX('Häutungen'!$D$7:$D$1006,$M81)="","",INDEX('Häutungen'!$D$7:$D$1006,$M81)))</f>
        <v/>
      </c>
      <c r="H81" s="115" t="n"/>
      <c r="I81" s="117">
        <f>IF($M81="","",IF(INDEX('Häutungen'!$E$7:$E$1006,$M81)="Ja","✓","")&amp;IF(INDEX('Häutungen'!$F$7:$F$1006,$M81)="weiblich"," ♀",IF(INDEX('Häutungen'!$F$7:$F$1006,$M81)="männlich"," ♂","")))</f>
        <v/>
      </c>
      <c r="J81" s="118">
        <f>IF($M81="","",IF(INDEX('Häutungen'!$G$7:$G$1006,$M81)="","",INDEX('Häutungen'!$G$7:$G$1006,$M81)))</f>
        <v/>
      </c>
      <c r="K81" s="115" t="n"/>
      <c r="L81" s="1" t="n"/>
      <c r="M81" s="1">
        <f>IFERROR(MATCH($C$5&amp;"|"&amp;51,'Häutungen'!$L$7:$L$1006,0),"")</f>
        <v/>
      </c>
    </row>
    <row r="82" ht="22" customHeight="1">
      <c r="A82" s="1" t="n"/>
      <c r="B82" s="111">
        <f>IF($M82="","",52)</f>
        <v/>
      </c>
      <c r="C82" s="112">
        <f>IF($M82="","",IF(INDEX('Häutungen'!$C$7:$C$1006,$M82)="","",INDEX('Häutungen'!$C$7:$C$1006,$M82)))</f>
        <v/>
      </c>
      <c r="D82" s="113">
        <f>IF($M82="","",IF(INDEX('Häutungen'!$I$7:$I$1006,$M82)="","",INDEX('Häutungen'!$I$7:$I$1006,$M82)))</f>
        <v/>
      </c>
      <c r="E82" s="114">
        <f>IF($M82="","",IF(INDEX('Häutungen'!$J$7:$J$1006,$M82)="","",INDEX('Häutungen'!$J$7:$J$1006,$M82)))</f>
        <v/>
      </c>
      <c r="F82" s="115" t="n"/>
      <c r="G82" s="116">
        <f>IF($M82="","",IF(INDEX('Häutungen'!$D$7:$D$1006,$M82)="","",INDEX('Häutungen'!$D$7:$D$1006,$M82)))</f>
        <v/>
      </c>
      <c r="H82" s="115" t="n"/>
      <c r="I82" s="117">
        <f>IF($M82="","",IF(INDEX('Häutungen'!$E$7:$E$1006,$M82)="Ja","✓","")&amp;IF(INDEX('Häutungen'!$F$7:$F$1006,$M82)="weiblich"," ♀",IF(INDEX('Häutungen'!$F$7:$F$1006,$M82)="männlich"," ♂","")))</f>
        <v/>
      </c>
      <c r="J82" s="118">
        <f>IF($M82="","",IF(INDEX('Häutungen'!$G$7:$G$1006,$M82)="","",INDEX('Häutungen'!$G$7:$G$1006,$M82)))</f>
        <v/>
      </c>
      <c r="K82" s="115" t="n"/>
      <c r="L82" s="1" t="n"/>
      <c r="M82" s="1">
        <f>IFERROR(MATCH($C$5&amp;"|"&amp;52,'Häutungen'!$L$7:$L$1006,0),"")</f>
        <v/>
      </c>
    </row>
    <row r="83" ht="22" customHeight="1">
      <c r="A83" s="1" t="n"/>
      <c r="B83" s="111">
        <f>IF($M83="","",53)</f>
        <v/>
      </c>
      <c r="C83" s="112">
        <f>IF($M83="","",IF(INDEX('Häutungen'!$C$7:$C$1006,$M83)="","",INDEX('Häutungen'!$C$7:$C$1006,$M83)))</f>
        <v/>
      </c>
      <c r="D83" s="113">
        <f>IF($M83="","",IF(INDEX('Häutungen'!$I$7:$I$1006,$M83)="","",INDEX('Häutungen'!$I$7:$I$1006,$M83)))</f>
        <v/>
      </c>
      <c r="E83" s="114">
        <f>IF($M83="","",IF(INDEX('Häutungen'!$J$7:$J$1006,$M83)="","",INDEX('Häutungen'!$J$7:$J$1006,$M83)))</f>
        <v/>
      </c>
      <c r="F83" s="115" t="n"/>
      <c r="G83" s="116">
        <f>IF($M83="","",IF(INDEX('Häutungen'!$D$7:$D$1006,$M83)="","",INDEX('Häutungen'!$D$7:$D$1006,$M83)))</f>
        <v/>
      </c>
      <c r="H83" s="115" t="n"/>
      <c r="I83" s="117">
        <f>IF($M83="","",IF(INDEX('Häutungen'!$E$7:$E$1006,$M83)="Ja","✓","")&amp;IF(INDEX('Häutungen'!$F$7:$F$1006,$M83)="weiblich"," ♀",IF(INDEX('Häutungen'!$F$7:$F$1006,$M83)="männlich"," ♂","")))</f>
        <v/>
      </c>
      <c r="J83" s="118">
        <f>IF($M83="","",IF(INDEX('Häutungen'!$G$7:$G$1006,$M83)="","",INDEX('Häutungen'!$G$7:$G$1006,$M83)))</f>
        <v/>
      </c>
      <c r="K83" s="115" t="n"/>
      <c r="L83" s="1" t="n"/>
      <c r="M83" s="1">
        <f>IFERROR(MATCH($C$5&amp;"|"&amp;53,'Häutungen'!$L$7:$L$1006,0),"")</f>
        <v/>
      </c>
    </row>
    <row r="84" ht="22" customHeight="1">
      <c r="A84" s="1" t="n"/>
      <c r="B84" s="111">
        <f>IF($M84="","",54)</f>
        <v/>
      </c>
      <c r="C84" s="112">
        <f>IF($M84="","",IF(INDEX('Häutungen'!$C$7:$C$1006,$M84)="","",INDEX('Häutungen'!$C$7:$C$1006,$M84)))</f>
        <v/>
      </c>
      <c r="D84" s="113">
        <f>IF($M84="","",IF(INDEX('Häutungen'!$I$7:$I$1006,$M84)="","",INDEX('Häutungen'!$I$7:$I$1006,$M84)))</f>
        <v/>
      </c>
      <c r="E84" s="114">
        <f>IF($M84="","",IF(INDEX('Häutungen'!$J$7:$J$1006,$M84)="","",INDEX('Häutungen'!$J$7:$J$1006,$M84)))</f>
        <v/>
      </c>
      <c r="F84" s="115" t="n"/>
      <c r="G84" s="116">
        <f>IF($M84="","",IF(INDEX('Häutungen'!$D$7:$D$1006,$M84)="","",INDEX('Häutungen'!$D$7:$D$1006,$M84)))</f>
        <v/>
      </c>
      <c r="H84" s="115" t="n"/>
      <c r="I84" s="117">
        <f>IF($M84="","",IF(INDEX('Häutungen'!$E$7:$E$1006,$M84)="Ja","✓","")&amp;IF(INDEX('Häutungen'!$F$7:$F$1006,$M84)="weiblich"," ♀",IF(INDEX('Häutungen'!$F$7:$F$1006,$M84)="männlich"," ♂","")))</f>
        <v/>
      </c>
      <c r="J84" s="118">
        <f>IF($M84="","",IF(INDEX('Häutungen'!$G$7:$G$1006,$M84)="","",INDEX('Häutungen'!$G$7:$G$1006,$M84)))</f>
        <v/>
      </c>
      <c r="K84" s="115" t="n"/>
      <c r="L84" s="1" t="n"/>
      <c r="M84" s="1">
        <f>IFERROR(MATCH($C$5&amp;"|"&amp;54,'Häutungen'!$L$7:$L$1006,0),"")</f>
        <v/>
      </c>
    </row>
    <row r="85" ht="22" customHeight="1">
      <c r="A85" s="1" t="n"/>
      <c r="B85" s="111">
        <f>IF($M85="","",55)</f>
        <v/>
      </c>
      <c r="C85" s="112">
        <f>IF($M85="","",IF(INDEX('Häutungen'!$C$7:$C$1006,$M85)="","",INDEX('Häutungen'!$C$7:$C$1006,$M85)))</f>
        <v/>
      </c>
      <c r="D85" s="113">
        <f>IF($M85="","",IF(INDEX('Häutungen'!$I$7:$I$1006,$M85)="","",INDEX('Häutungen'!$I$7:$I$1006,$M85)))</f>
        <v/>
      </c>
      <c r="E85" s="114">
        <f>IF($M85="","",IF(INDEX('Häutungen'!$J$7:$J$1006,$M85)="","",INDEX('Häutungen'!$J$7:$J$1006,$M85)))</f>
        <v/>
      </c>
      <c r="F85" s="115" t="n"/>
      <c r="G85" s="116">
        <f>IF($M85="","",IF(INDEX('Häutungen'!$D$7:$D$1006,$M85)="","",INDEX('Häutungen'!$D$7:$D$1006,$M85)))</f>
        <v/>
      </c>
      <c r="H85" s="115" t="n"/>
      <c r="I85" s="117">
        <f>IF($M85="","",IF(INDEX('Häutungen'!$E$7:$E$1006,$M85)="Ja","✓","")&amp;IF(INDEX('Häutungen'!$F$7:$F$1006,$M85)="weiblich"," ♀",IF(INDEX('Häutungen'!$F$7:$F$1006,$M85)="männlich"," ♂","")))</f>
        <v/>
      </c>
      <c r="J85" s="118">
        <f>IF($M85="","",IF(INDEX('Häutungen'!$G$7:$G$1006,$M85)="","",INDEX('Häutungen'!$G$7:$G$1006,$M85)))</f>
        <v/>
      </c>
      <c r="K85" s="115" t="n"/>
      <c r="L85" s="1" t="n"/>
      <c r="M85" s="1">
        <f>IFERROR(MATCH($C$5&amp;"|"&amp;55,'Häutungen'!$L$7:$L$1006,0),"")</f>
        <v/>
      </c>
    </row>
    <row r="86" ht="22" customHeight="1">
      <c r="A86" s="1" t="n"/>
      <c r="B86" s="111">
        <f>IF($M86="","",56)</f>
        <v/>
      </c>
      <c r="C86" s="112">
        <f>IF($M86="","",IF(INDEX('Häutungen'!$C$7:$C$1006,$M86)="","",INDEX('Häutungen'!$C$7:$C$1006,$M86)))</f>
        <v/>
      </c>
      <c r="D86" s="113">
        <f>IF($M86="","",IF(INDEX('Häutungen'!$I$7:$I$1006,$M86)="","",INDEX('Häutungen'!$I$7:$I$1006,$M86)))</f>
        <v/>
      </c>
      <c r="E86" s="114">
        <f>IF($M86="","",IF(INDEX('Häutungen'!$J$7:$J$1006,$M86)="","",INDEX('Häutungen'!$J$7:$J$1006,$M86)))</f>
        <v/>
      </c>
      <c r="F86" s="115" t="n"/>
      <c r="G86" s="116">
        <f>IF($M86="","",IF(INDEX('Häutungen'!$D$7:$D$1006,$M86)="","",INDEX('Häutungen'!$D$7:$D$1006,$M86)))</f>
        <v/>
      </c>
      <c r="H86" s="115" t="n"/>
      <c r="I86" s="117">
        <f>IF($M86="","",IF(INDEX('Häutungen'!$E$7:$E$1006,$M86)="Ja","✓","")&amp;IF(INDEX('Häutungen'!$F$7:$F$1006,$M86)="weiblich"," ♀",IF(INDEX('Häutungen'!$F$7:$F$1006,$M86)="männlich"," ♂","")))</f>
        <v/>
      </c>
      <c r="J86" s="118">
        <f>IF($M86="","",IF(INDEX('Häutungen'!$G$7:$G$1006,$M86)="","",INDEX('Häutungen'!$G$7:$G$1006,$M86)))</f>
        <v/>
      </c>
      <c r="K86" s="115" t="n"/>
      <c r="L86" s="1" t="n"/>
      <c r="M86" s="1">
        <f>IFERROR(MATCH($C$5&amp;"|"&amp;56,'Häutungen'!$L$7:$L$1006,0),"")</f>
        <v/>
      </c>
    </row>
    <row r="87" ht="22" customHeight="1">
      <c r="A87" s="1" t="n"/>
      <c r="B87" s="111">
        <f>IF($M87="","",57)</f>
        <v/>
      </c>
      <c r="C87" s="112">
        <f>IF($M87="","",IF(INDEX('Häutungen'!$C$7:$C$1006,$M87)="","",INDEX('Häutungen'!$C$7:$C$1006,$M87)))</f>
        <v/>
      </c>
      <c r="D87" s="113">
        <f>IF($M87="","",IF(INDEX('Häutungen'!$I$7:$I$1006,$M87)="","",INDEX('Häutungen'!$I$7:$I$1006,$M87)))</f>
        <v/>
      </c>
      <c r="E87" s="114">
        <f>IF($M87="","",IF(INDEX('Häutungen'!$J$7:$J$1006,$M87)="","",INDEX('Häutungen'!$J$7:$J$1006,$M87)))</f>
        <v/>
      </c>
      <c r="F87" s="115" t="n"/>
      <c r="G87" s="116">
        <f>IF($M87="","",IF(INDEX('Häutungen'!$D$7:$D$1006,$M87)="","",INDEX('Häutungen'!$D$7:$D$1006,$M87)))</f>
        <v/>
      </c>
      <c r="H87" s="115" t="n"/>
      <c r="I87" s="117">
        <f>IF($M87="","",IF(INDEX('Häutungen'!$E$7:$E$1006,$M87)="Ja","✓","")&amp;IF(INDEX('Häutungen'!$F$7:$F$1006,$M87)="weiblich"," ♀",IF(INDEX('Häutungen'!$F$7:$F$1006,$M87)="männlich"," ♂","")))</f>
        <v/>
      </c>
      <c r="J87" s="118">
        <f>IF($M87="","",IF(INDEX('Häutungen'!$G$7:$G$1006,$M87)="","",INDEX('Häutungen'!$G$7:$G$1006,$M87)))</f>
        <v/>
      </c>
      <c r="K87" s="115" t="n"/>
      <c r="L87" s="1" t="n"/>
      <c r="M87" s="1">
        <f>IFERROR(MATCH($C$5&amp;"|"&amp;57,'Häutungen'!$L$7:$L$1006,0),"")</f>
        <v/>
      </c>
    </row>
    <row r="88" ht="22" customHeight="1">
      <c r="A88" s="1" t="n"/>
      <c r="B88" s="111">
        <f>IF($M88="","",58)</f>
        <v/>
      </c>
      <c r="C88" s="112">
        <f>IF($M88="","",IF(INDEX('Häutungen'!$C$7:$C$1006,$M88)="","",INDEX('Häutungen'!$C$7:$C$1006,$M88)))</f>
        <v/>
      </c>
      <c r="D88" s="113">
        <f>IF($M88="","",IF(INDEX('Häutungen'!$I$7:$I$1006,$M88)="","",INDEX('Häutungen'!$I$7:$I$1006,$M88)))</f>
        <v/>
      </c>
      <c r="E88" s="114">
        <f>IF($M88="","",IF(INDEX('Häutungen'!$J$7:$J$1006,$M88)="","",INDEX('Häutungen'!$J$7:$J$1006,$M88)))</f>
        <v/>
      </c>
      <c r="F88" s="115" t="n"/>
      <c r="G88" s="116">
        <f>IF($M88="","",IF(INDEX('Häutungen'!$D$7:$D$1006,$M88)="","",INDEX('Häutungen'!$D$7:$D$1006,$M88)))</f>
        <v/>
      </c>
      <c r="H88" s="115" t="n"/>
      <c r="I88" s="117">
        <f>IF($M88="","",IF(INDEX('Häutungen'!$E$7:$E$1006,$M88)="Ja","✓","")&amp;IF(INDEX('Häutungen'!$F$7:$F$1006,$M88)="weiblich"," ♀",IF(INDEX('Häutungen'!$F$7:$F$1006,$M88)="männlich"," ♂","")))</f>
        <v/>
      </c>
      <c r="J88" s="118">
        <f>IF($M88="","",IF(INDEX('Häutungen'!$G$7:$G$1006,$M88)="","",INDEX('Häutungen'!$G$7:$G$1006,$M88)))</f>
        <v/>
      </c>
      <c r="K88" s="115" t="n"/>
      <c r="L88" s="1" t="n"/>
      <c r="M88" s="1">
        <f>IFERROR(MATCH($C$5&amp;"|"&amp;58,'Häutungen'!$L$7:$L$1006,0),"")</f>
        <v/>
      </c>
    </row>
    <row r="89" ht="22" customHeight="1">
      <c r="A89" s="1" t="n"/>
      <c r="B89" s="111">
        <f>IF($M89="","",59)</f>
        <v/>
      </c>
      <c r="C89" s="112">
        <f>IF($M89="","",IF(INDEX('Häutungen'!$C$7:$C$1006,$M89)="","",INDEX('Häutungen'!$C$7:$C$1006,$M89)))</f>
        <v/>
      </c>
      <c r="D89" s="113">
        <f>IF($M89="","",IF(INDEX('Häutungen'!$I$7:$I$1006,$M89)="","",INDEX('Häutungen'!$I$7:$I$1006,$M89)))</f>
        <v/>
      </c>
      <c r="E89" s="114">
        <f>IF($M89="","",IF(INDEX('Häutungen'!$J$7:$J$1006,$M89)="","",INDEX('Häutungen'!$J$7:$J$1006,$M89)))</f>
        <v/>
      </c>
      <c r="F89" s="115" t="n"/>
      <c r="G89" s="116">
        <f>IF($M89="","",IF(INDEX('Häutungen'!$D$7:$D$1006,$M89)="","",INDEX('Häutungen'!$D$7:$D$1006,$M89)))</f>
        <v/>
      </c>
      <c r="H89" s="115" t="n"/>
      <c r="I89" s="117">
        <f>IF($M89="","",IF(INDEX('Häutungen'!$E$7:$E$1006,$M89)="Ja","✓","")&amp;IF(INDEX('Häutungen'!$F$7:$F$1006,$M89)="weiblich"," ♀",IF(INDEX('Häutungen'!$F$7:$F$1006,$M89)="männlich"," ♂","")))</f>
        <v/>
      </c>
      <c r="J89" s="118">
        <f>IF($M89="","",IF(INDEX('Häutungen'!$G$7:$G$1006,$M89)="","",INDEX('Häutungen'!$G$7:$G$1006,$M89)))</f>
        <v/>
      </c>
      <c r="K89" s="115" t="n"/>
      <c r="L89" s="1" t="n"/>
      <c r="M89" s="1">
        <f>IFERROR(MATCH($C$5&amp;"|"&amp;59,'Häutungen'!$L$7:$L$1006,0),"")</f>
        <v/>
      </c>
    </row>
    <row r="90" ht="22" customHeight="1">
      <c r="A90" s="1" t="n"/>
      <c r="B90" s="111">
        <f>IF($M90="","",60)</f>
        <v/>
      </c>
      <c r="C90" s="112">
        <f>IF($M90="","",IF(INDEX('Häutungen'!$C$7:$C$1006,$M90)="","",INDEX('Häutungen'!$C$7:$C$1006,$M90)))</f>
        <v/>
      </c>
      <c r="D90" s="113">
        <f>IF($M90="","",IF(INDEX('Häutungen'!$I$7:$I$1006,$M90)="","",INDEX('Häutungen'!$I$7:$I$1006,$M90)))</f>
        <v/>
      </c>
      <c r="E90" s="114">
        <f>IF($M90="","",IF(INDEX('Häutungen'!$J$7:$J$1006,$M90)="","",INDEX('Häutungen'!$J$7:$J$1006,$M90)))</f>
        <v/>
      </c>
      <c r="F90" s="115" t="n"/>
      <c r="G90" s="116">
        <f>IF($M90="","",IF(INDEX('Häutungen'!$D$7:$D$1006,$M90)="","",INDEX('Häutungen'!$D$7:$D$1006,$M90)))</f>
        <v/>
      </c>
      <c r="H90" s="115" t="n"/>
      <c r="I90" s="117">
        <f>IF($M90="","",IF(INDEX('Häutungen'!$E$7:$E$1006,$M90)="Ja","✓","")&amp;IF(INDEX('Häutungen'!$F$7:$F$1006,$M90)="weiblich"," ♀",IF(INDEX('Häutungen'!$F$7:$F$1006,$M90)="männlich"," ♂","")))</f>
        <v/>
      </c>
      <c r="J90" s="118">
        <f>IF($M90="","",IF(INDEX('Häutungen'!$G$7:$G$1006,$M90)="","",INDEX('Häutungen'!$G$7:$G$1006,$M90)))</f>
        <v/>
      </c>
      <c r="K90" s="115" t="n"/>
      <c r="L90" s="1" t="n"/>
      <c r="M90" s="1">
        <f>IFERROR(MATCH($C$5&amp;"|"&amp;60,'Häutungen'!$L$7:$L$1006,0),"")</f>
        <v/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</row>
    <row r="92">
      <c r="A92" s="1" t="n"/>
      <c r="B92" s="119" t="inlineStr">
        <is>
          <t>Grün: Abstand zur vorherigen Häutung.  Ocker: Größe nach der Häutung.  ✓ = Exuvie aufbewahrt.</t>
        </is>
      </c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29">
    <mergeCell ref="G81:H81"/>
    <mergeCell ref="J82:K82"/>
    <mergeCell ref="E62:F62"/>
    <mergeCell ref="D10:H10"/>
    <mergeCell ref="F25:G25"/>
    <mergeCell ref="E71:F71"/>
    <mergeCell ref="G71:H71"/>
    <mergeCell ref="J59:K59"/>
    <mergeCell ref="B20:K20"/>
    <mergeCell ref="J60:K60"/>
    <mergeCell ref="E64:F64"/>
    <mergeCell ref="B12:C12"/>
    <mergeCell ref="E79:F79"/>
    <mergeCell ref="E73:F73"/>
    <mergeCell ref="E51:F51"/>
    <mergeCell ref="I24:K24"/>
    <mergeCell ref="J68:K68"/>
    <mergeCell ref="E87:F87"/>
    <mergeCell ref="D13:E13"/>
    <mergeCell ref="J53:K53"/>
    <mergeCell ref="E63:F63"/>
    <mergeCell ref="G57:H57"/>
    <mergeCell ref="B14:C14"/>
    <mergeCell ref="G66:H66"/>
    <mergeCell ref="J45:K45"/>
    <mergeCell ref="G18:H18"/>
    <mergeCell ref="E65:F65"/>
    <mergeCell ref="B13:C13"/>
    <mergeCell ref="E34:F34"/>
    <mergeCell ref="J86:K86"/>
    <mergeCell ref="G34:H34"/>
    <mergeCell ref="I10:K10"/>
    <mergeCell ref="G68:H68"/>
    <mergeCell ref="F23:G23"/>
    <mergeCell ref="E49:F49"/>
    <mergeCell ref="G58:H58"/>
    <mergeCell ref="E36:F36"/>
    <mergeCell ref="J31:K31"/>
    <mergeCell ref="F13:G13"/>
    <mergeCell ref="H13:I13"/>
    <mergeCell ref="E85:F85"/>
    <mergeCell ref="G85:H85"/>
    <mergeCell ref="B17:K17"/>
    <mergeCell ref="J62:K62"/>
    <mergeCell ref="J71:K71"/>
    <mergeCell ref="E75:F75"/>
    <mergeCell ref="E53:F53"/>
    <mergeCell ref="G44:H44"/>
    <mergeCell ref="G75:H75"/>
    <mergeCell ref="G84:H84"/>
    <mergeCell ref="J58:K58"/>
    <mergeCell ref="G59:H59"/>
    <mergeCell ref="J64:K64"/>
    <mergeCell ref="G77:H77"/>
    <mergeCell ref="J73:K73"/>
    <mergeCell ref="I22:K22"/>
    <mergeCell ref="E55:F55"/>
    <mergeCell ref="G86:H86"/>
    <mergeCell ref="E67:F67"/>
    <mergeCell ref="J57:K57"/>
    <mergeCell ref="G67:H67"/>
    <mergeCell ref="J88:K88"/>
    <mergeCell ref="G61:H61"/>
    <mergeCell ref="E48:F48"/>
    <mergeCell ref="I21:K21"/>
    <mergeCell ref="G70:H70"/>
    <mergeCell ref="G48:H48"/>
    <mergeCell ref="J77:K77"/>
    <mergeCell ref="J34:K34"/>
    <mergeCell ref="E38:F38"/>
    <mergeCell ref="D8:H9"/>
    <mergeCell ref="G38:H38"/>
    <mergeCell ref="I23:K23"/>
    <mergeCell ref="B16:E16"/>
    <mergeCell ref="J49:K49"/>
    <mergeCell ref="G62:H62"/>
    <mergeCell ref="J83:K83"/>
    <mergeCell ref="J36:K36"/>
    <mergeCell ref="E40:F40"/>
    <mergeCell ref="G49:H49"/>
    <mergeCell ref="E90:F90"/>
    <mergeCell ref="J85:K85"/>
    <mergeCell ref="G33:H33"/>
    <mergeCell ref="G65:H65"/>
    <mergeCell ref="J75:K75"/>
    <mergeCell ref="G88:H88"/>
    <mergeCell ref="G35:H35"/>
    <mergeCell ref="H12:I12"/>
    <mergeCell ref="J12:K12"/>
    <mergeCell ref="F16:K16"/>
    <mergeCell ref="E76:F76"/>
    <mergeCell ref="J46:K46"/>
    <mergeCell ref="G76:H76"/>
    <mergeCell ref="G90:H90"/>
    <mergeCell ref="J51:K51"/>
    <mergeCell ref="E66:F66"/>
    <mergeCell ref="H14:I14"/>
    <mergeCell ref="G60:H60"/>
    <mergeCell ref="J61:K61"/>
    <mergeCell ref="E58:F58"/>
    <mergeCell ref="J48:K48"/>
    <mergeCell ref="I25:K25"/>
    <mergeCell ref="E50:F50"/>
    <mergeCell ref="E68:F68"/>
    <mergeCell ref="J38:K38"/>
    <mergeCell ref="J81:K81"/>
    <mergeCell ref="G42:H42"/>
    <mergeCell ref="E52:F52"/>
    <mergeCell ref="E83:F83"/>
    <mergeCell ref="E39:F39"/>
    <mergeCell ref="G39:H39"/>
    <mergeCell ref="J40:K40"/>
    <mergeCell ref="E44:F44"/>
    <mergeCell ref="F21:G21"/>
    <mergeCell ref="J89:K89"/>
    <mergeCell ref="G37:H37"/>
    <mergeCell ref="C22:D22"/>
    <mergeCell ref="J65:K65"/>
    <mergeCell ref="E69:F69"/>
    <mergeCell ref="G69:H69"/>
    <mergeCell ref="J74:K74"/>
    <mergeCell ref="E78:F78"/>
    <mergeCell ref="E84:F84"/>
    <mergeCell ref="E31:F31"/>
    <mergeCell ref="G78:H78"/>
    <mergeCell ref="G87:H87"/>
    <mergeCell ref="J35:K35"/>
    <mergeCell ref="D7:H7"/>
    <mergeCell ref="E59:F59"/>
    <mergeCell ref="C21:D21"/>
    <mergeCell ref="E77:F77"/>
    <mergeCell ref="E46:F46"/>
    <mergeCell ref="E86:F86"/>
    <mergeCell ref="E80:F80"/>
    <mergeCell ref="G80:H80"/>
    <mergeCell ref="E89:F89"/>
    <mergeCell ref="F22:G22"/>
    <mergeCell ref="G89:H89"/>
    <mergeCell ref="E61:F61"/>
    <mergeCell ref="C23:D23"/>
    <mergeCell ref="J66:K66"/>
    <mergeCell ref="G64:H64"/>
    <mergeCell ref="E70:F70"/>
    <mergeCell ref="D12:E12"/>
    <mergeCell ref="G79:H79"/>
    <mergeCell ref="E57:F57"/>
    <mergeCell ref="G73:H73"/>
    <mergeCell ref="G51:H51"/>
    <mergeCell ref="J50:K50"/>
    <mergeCell ref="E54:F54"/>
    <mergeCell ref="E32:F32"/>
    <mergeCell ref="G54:H54"/>
    <mergeCell ref="E72:F72"/>
    <mergeCell ref="G32:H32"/>
    <mergeCell ref="E41:F41"/>
    <mergeCell ref="G63:H63"/>
    <mergeCell ref="E81:F81"/>
    <mergeCell ref="G41:H41"/>
    <mergeCell ref="J42:K42"/>
    <mergeCell ref="D14:E14"/>
    <mergeCell ref="I8:K9"/>
    <mergeCell ref="B29:K29"/>
    <mergeCell ref="F14:G14"/>
    <mergeCell ref="G50:H50"/>
    <mergeCell ref="J52:K52"/>
    <mergeCell ref="E56:F56"/>
    <mergeCell ref="I7:K7"/>
    <mergeCell ref="G56:H56"/>
    <mergeCell ref="J39:K39"/>
    <mergeCell ref="E43:F43"/>
    <mergeCell ref="G43:H43"/>
    <mergeCell ref="J44:K44"/>
    <mergeCell ref="C24:D24"/>
    <mergeCell ref="G52:H52"/>
    <mergeCell ref="J67:K67"/>
    <mergeCell ref="J14:K14"/>
    <mergeCell ref="E33:F33"/>
    <mergeCell ref="J72:K72"/>
    <mergeCell ref="E42:F42"/>
    <mergeCell ref="G36:H36"/>
    <mergeCell ref="J37:K37"/>
    <mergeCell ref="J13:K13"/>
    <mergeCell ref="J69:K69"/>
    <mergeCell ref="J84:K84"/>
    <mergeCell ref="E88:F88"/>
    <mergeCell ref="J78:K78"/>
    <mergeCell ref="E82:F82"/>
    <mergeCell ref="E35:F35"/>
    <mergeCell ref="G82:H82"/>
    <mergeCell ref="J30:K30"/>
    <mergeCell ref="F12:G12"/>
    <mergeCell ref="F24:G24"/>
    <mergeCell ref="J87:K87"/>
    <mergeCell ref="B26:K26"/>
    <mergeCell ref="C25:D25"/>
    <mergeCell ref="J80:K80"/>
    <mergeCell ref="G53:H53"/>
    <mergeCell ref="E60:F60"/>
    <mergeCell ref="J55:K55"/>
    <mergeCell ref="E74:F74"/>
    <mergeCell ref="G74:H74"/>
    <mergeCell ref="J70:K70"/>
    <mergeCell ref="J79:K79"/>
    <mergeCell ref="G83:H83"/>
    <mergeCell ref="E30:F30"/>
    <mergeCell ref="G30:H30"/>
    <mergeCell ref="B27:K27"/>
    <mergeCell ref="J54:K54"/>
    <mergeCell ref="J32:K32"/>
    <mergeCell ref="B7:C10"/>
    <mergeCell ref="J63:K63"/>
    <mergeCell ref="J41:K41"/>
    <mergeCell ref="E45:F45"/>
    <mergeCell ref="G45:H45"/>
    <mergeCell ref="J47:K47"/>
    <mergeCell ref="G55:H55"/>
    <mergeCell ref="J56:K56"/>
    <mergeCell ref="J90:K90"/>
    <mergeCell ref="J43:K43"/>
    <mergeCell ref="G47:H47"/>
    <mergeCell ref="J18:K18"/>
    <mergeCell ref="J33:K33"/>
    <mergeCell ref="E37:F37"/>
    <mergeCell ref="G31:H31"/>
    <mergeCell ref="G46:H46"/>
    <mergeCell ref="J76:K76"/>
    <mergeCell ref="G40:H40"/>
    <mergeCell ref="E47:F47"/>
    <mergeCell ref="G72:H72"/>
  </mergeCells>
  <conditionalFormatting sqref="B7:C10">
    <cfRule type="expression" priority="1" dxfId="8">
      <formula>$B$7="♀"</formula>
    </cfRule>
    <cfRule type="expression" priority="2" dxfId="9">
      <formula>$B$7="♂"</formula>
    </cfRule>
    <cfRule type="expression" priority="3" dxfId="10">
      <formula>$B$7="?"</formula>
    </cfRule>
  </conditionalFormatting>
  <conditionalFormatting sqref="I8:K9">
    <cfRule type="expression" priority="4" dxfId="0">
      <formula>$I$8="Überfällig"</formula>
    </cfRule>
    <cfRule type="expression" priority="5" dxfId="0">
      <formula>$I$8="Frisst nicht"</formula>
    </cfRule>
    <cfRule type="expression" priority="6" dxfId="1">
      <formula>$I$8="Fällig"</formula>
    </cfRule>
    <cfRule type="expression" priority="7" dxfId="2">
      <formula>$I$8="Im Plan"</formula>
    </cfRule>
    <cfRule type="expression" priority="8" dxfId="3">
      <formula>$I$8="Adultes Männchen"</formula>
    </cfRule>
    <cfRule type="expression" priority="9" dxfId="4">
      <formula>$I$8="Zu wenig Daten"</formula>
    </cfRule>
  </conditionalFormatting>
  <conditionalFormatting sqref="F13">
    <cfRule type="expression" priority="10" dxfId="11">
      <formula>AND(ISNUMBER($F$13),$F$13&lt;0)</formula>
    </cfRule>
    <cfRule type="expression" priority="11" dxfId="12">
      <formula>AND(ISNUMBER($F$13),$F$13&gt;=0,$F$13&lt;=14)</formula>
    </cfRule>
  </conditionalFormatting>
  <conditionalFormatting sqref="B17">
    <cfRule type="dataBar" priority="12">
      <dataBar showValue="0">
        <cfvo type="num" val="0"/>
        <cfvo type="num" val="1.5"/>
        <color rgb="008FAA78"/>
      </dataBar>
    </cfRule>
  </conditionalFormatting>
  <conditionalFormatting sqref="B31:B90">
    <cfRule type="expression" priority="13" dxfId="13">
      <formula>$B31&lt;&gt;""</formula>
    </cfRule>
  </conditionalFormatting>
  <conditionalFormatting sqref="E31:E90">
    <cfRule type="dataBar" priority="14">
      <dataBar>
        <cfvo type="num" val="0"/>
        <cfvo type="max"/>
        <color rgb="00A9BF95"/>
      </dataBar>
    </cfRule>
  </conditionalFormatting>
  <conditionalFormatting sqref="G31:G90">
    <cfRule type="dataBar" priority="15">
      <dataBar>
        <cfvo type="num" val="0"/>
        <cfvo type="max"/>
        <color rgb="00D9BE8A"/>
      </dataBar>
    </cfRule>
  </conditionalFormatting>
  <conditionalFormatting sqref="I31:I90">
    <cfRule type="expression" priority="16" dxfId="14">
      <formula>$I31&lt;&gt;""</formula>
    </cfRule>
  </conditionalFormatting>
  <dataValidations count="1">
    <dataValidation sqref="C5" showDropDown="0" showInputMessage="0" showErrorMessage="1" allowBlank="0" error="Bitte eine Tier-ID aus dem Bestand wählen." type="list">
      <formula1>=Bestand!$A$14:$A$213</formula1>
    </dataValidation>
  </dataValidations>
  <hyperlinks>
    <hyperlink xmlns:r="http://schemas.openxmlformats.org/officeDocument/2006/relationships" ref="K2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8A7F74"/>
    <outlinePr summaryBelow="1" summaryRight="1"/>
    <pageSetUpPr/>
  </sheetPr>
  <dimension ref="A1:Z90"/>
  <sheetViews>
    <sheetView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3" customWidth="1" min="2" max="2"/>
    <col width="3" customWidth="1" min="3" max="3"/>
    <col width="3" customWidth="1" min="4" max="4"/>
    <col width="17" customWidth="1" min="5" max="5"/>
    <col width="17" customWidth="1" min="6" max="6"/>
    <col width="17" customWidth="1" min="7" max="7"/>
    <col width="3" customWidth="1" min="8" max="8"/>
    <col width="17" customWidth="1" min="9" max="9"/>
    <col width="17" customWidth="1" min="10" max="10"/>
    <col width="17" customWidth="1" min="11" max="11"/>
    <col width="17" customWidth="1" min="12" max="12"/>
    <col width="3" customWidth="1" min="13" max="13"/>
    <col width="17" customWidth="1" min="14" max="14"/>
    <col width="17" customWidth="1" min="15" max="15"/>
    <col width="17" customWidth="1" min="16" max="16"/>
    <col width="17" customWidth="1" min="17" max="17"/>
    <col width="3" customWidth="1" min="18" max="18"/>
    <col width="3" customWidth="1" min="21" max="21"/>
    <col width="34" customWidth="1" min="22" max="22"/>
    <col width="10" customWidth="1" min="23" max="23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</row>
    <row r="2" ht="30" customHeight="1">
      <c r="A2" s="2" t="inlineStr">
        <is>
          <t>VOGELSPINNEN BESTANDSBUCH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28" t="inlineStr">
        <is>
          <t>vogelspinner.net</t>
        </is>
      </c>
      <c r="X2" s="1" t="n"/>
      <c r="Y2" s="1" t="n"/>
      <c r="Z2" s="1" t="n"/>
    </row>
    <row r="3" ht="20" customHeight="1">
      <c r="A3" s="4" t="inlineStr">
        <is>
          <t>Dropdown-Listen und Einstellungen. Eigene Einträge einfach in freie Zeilen schreiben.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  <c r="T3" s="3" t="n"/>
      <c r="U3" s="3" t="n"/>
      <c r="V3" s="3" t="n"/>
      <c r="W3" s="29" t="inlineStr">
        <is>
          <t>Kostenlose Vorlage</t>
        </is>
      </c>
      <c r="X3" s="1" t="n"/>
      <c r="Y3" s="1" t="n"/>
      <c r="Z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</row>
    <row r="5" ht="30" customHeight="1">
      <c r="A5" s="120" t="inlineStr">
        <is>
          <t>Gattungen</t>
        </is>
      </c>
      <c r="B5" s="1" t="n"/>
      <c r="C5" s="1" t="n"/>
      <c r="D5" s="1" t="n"/>
      <c r="E5" s="120" t="inlineStr">
        <is>
          <t>Geschlecht</t>
        </is>
      </c>
      <c r="F5" s="120" t="inlineStr">
        <is>
          <t>Entwicklungsstand</t>
        </is>
      </c>
      <c r="G5" s="120" t="inlineStr">
        <is>
          <t>Lebensweise</t>
        </is>
      </c>
      <c r="H5" s="1" t="n"/>
      <c r="I5" s="120" t="inlineStr">
        <is>
          <t>Geschlecht bestimmt per</t>
        </is>
      </c>
      <c r="J5" s="120" t="inlineStr">
        <is>
          <t>Herkunft</t>
        </is>
      </c>
      <c r="K5" s="120" t="inlineStr">
        <is>
          <t>Ja / Nein</t>
        </is>
      </c>
      <c r="L5" s="120" t="inlineStr">
        <is>
          <t>Ja / Nein / Unklar</t>
        </is>
      </c>
      <c r="M5" s="1" t="n"/>
      <c r="N5" s="120" t="inlineStr">
        <is>
          <t>Bezugsquellen</t>
        </is>
      </c>
      <c r="O5" s="120" t="inlineStr">
        <is>
          <t>Futtertiere</t>
        </is>
      </c>
      <c r="P5" s="120" t="inlineStr">
        <is>
          <t>Futter angenommen</t>
        </is>
      </c>
      <c r="Q5" s="120" t="inlineStr">
        <is>
          <t>Exuvie sagt</t>
        </is>
      </c>
      <c r="R5" s="1" t="n"/>
      <c r="S5" s="1" t="n"/>
      <c r="T5" s="1" t="n"/>
      <c r="U5" s="1" t="n"/>
      <c r="V5" s="121" t="inlineStr">
        <is>
          <t>Einstellung</t>
        </is>
      </c>
      <c r="W5" s="121" t="inlineStr">
        <is>
          <t>Wert</t>
        </is>
      </c>
      <c r="X5" s="1" t="n"/>
      <c r="Y5" s="1" t="n"/>
      <c r="Z5" s="1" t="n"/>
    </row>
    <row r="6">
      <c r="A6" s="122" t="inlineStr">
        <is>
          <t>Acanthoscurria</t>
        </is>
      </c>
      <c r="B6" s="1" t="n"/>
      <c r="C6" s="1" t="n"/>
      <c r="D6" s="1" t="n"/>
      <c r="E6" s="122" t="inlineStr">
        <is>
          <t>weiblich</t>
        </is>
      </c>
      <c r="F6" s="122" t="inlineStr">
        <is>
          <t>Sling</t>
        </is>
      </c>
      <c r="G6" s="122" t="inlineStr">
        <is>
          <t>Bodenbewohnend</t>
        </is>
      </c>
      <c r="H6" s="1" t="n"/>
      <c r="I6" s="122" t="inlineStr">
        <is>
          <t>Exuvie</t>
        </is>
      </c>
      <c r="J6" s="122" t="inlineStr">
        <is>
          <t>Nachzucht</t>
        </is>
      </c>
      <c r="K6" s="122" t="inlineStr">
        <is>
          <t>Ja</t>
        </is>
      </c>
      <c r="L6" s="122" t="inlineStr">
        <is>
          <t>Ja</t>
        </is>
      </c>
      <c r="M6" s="1" t="n"/>
      <c r="N6" s="122" t="inlineStr">
        <is>
          <t>Börse</t>
        </is>
      </c>
      <c r="O6" s="122" t="inlineStr">
        <is>
          <t>Heimchen</t>
        </is>
      </c>
      <c r="P6" s="122" t="inlineStr">
        <is>
          <t>Ja</t>
        </is>
      </c>
      <c r="Q6" s="122" t="inlineStr">
        <is>
          <t>weiblich</t>
        </is>
      </c>
      <c r="R6" s="1" t="n"/>
      <c r="S6" s="1" t="n"/>
      <c r="T6" s="1" t="n"/>
      <c r="U6" s="1" t="n"/>
      <c r="V6" s="122" t="inlineStr">
        <is>
          <t>Tage pro Monat (Umrechnung)</t>
        </is>
      </c>
      <c r="W6" s="123" t="n">
        <v>30.44</v>
      </c>
      <c r="X6" s="1" t="n"/>
      <c r="Y6" s="1" t="n"/>
      <c r="Z6" s="1" t="n"/>
    </row>
    <row r="7">
      <c r="A7" s="122" t="inlineStr">
        <is>
          <t>Aphonopelma</t>
        </is>
      </c>
      <c r="B7" s="1" t="n"/>
      <c r="C7" s="1" t="n"/>
      <c r="D7" s="1" t="n"/>
      <c r="E7" s="122" t="inlineStr">
        <is>
          <t>männlich</t>
        </is>
      </c>
      <c r="F7" s="122" t="inlineStr">
        <is>
          <t>Juvenil</t>
        </is>
      </c>
      <c r="G7" s="122" t="inlineStr">
        <is>
          <t>Baumbewohnend</t>
        </is>
      </c>
      <c r="H7" s="1" t="n"/>
      <c r="I7" s="122" t="inlineStr">
        <is>
          <t>Ventral</t>
        </is>
      </c>
      <c r="J7" s="122" t="inlineStr">
        <is>
          <t>Wildfang</t>
        </is>
      </c>
      <c r="K7" s="122" t="inlineStr">
        <is>
          <t>Nein</t>
        </is>
      </c>
      <c r="L7" s="122" t="inlineStr">
        <is>
          <t>Nein</t>
        </is>
      </c>
      <c r="M7" s="1" t="n"/>
      <c r="N7" s="122" t="inlineStr">
        <is>
          <t>Züchter privat</t>
        </is>
      </c>
      <c r="O7" s="122" t="inlineStr">
        <is>
          <t>Steppengrillen</t>
        </is>
      </c>
      <c r="P7" s="122" t="inlineStr">
        <is>
          <t>Nein</t>
        </is>
      </c>
      <c r="Q7" s="122" t="inlineStr">
        <is>
          <t>männlich</t>
        </is>
      </c>
      <c r="R7" s="1" t="n"/>
      <c r="S7" s="1" t="n"/>
      <c r="T7" s="1" t="n"/>
      <c r="U7" s="1" t="n"/>
      <c r="V7" s="122" t="inlineStr">
        <is>
          <t>Überfällig ab Faktor x Ø-Abstand</t>
        </is>
      </c>
      <c r="W7" s="124" t="n">
        <v>1.5</v>
      </c>
      <c r="X7" s="1" t="n"/>
      <c r="Y7" s="1" t="n"/>
      <c r="Z7" s="1" t="n"/>
    </row>
    <row r="8">
      <c r="A8" s="122" t="inlineStr">
        <is>
          <t>Avicularia</t>
        </is>
      </c>
      <c r="B8" s="1" t="n"/>
      <c r="C8" s="1" t="n"/>
      <c r="D8" s="1" t="n"/>
      <c r="E8" s="122" t="inlineStr">
        <is>
          <t>unbestimmt</t>
        </is>
      </c>
      <c r="F8" s="122" t="inlineStr">
        <is>
          <t>Subadult</t>
        </is>
      </c>
      <c r="G8" s="122" t="inlineStr">
        <is>
          <t>Grabend</t>
        </is>
      </c>
      <c r="H8" s="1" t="n"/>
      <c r="I8" s="122" t="inlineStr">
        <is>
          <t>Verkäuferangabe</t>
        </is>
      </c>
      <c r="J8" s="122" t="inlineStr">
        <is>
          <t>Unbekannt</t>
        </is>
      </c>
      <c r="K8" s="1" t="n"/>
      <c r="L8" s="122" t="inlineStr">
        <is>
          <t>Unklar</t>
        </is>
      </c>
      <c r="M8" s="1" t="n"/>
      <c r="N8" s="122" t="inlineStr">
        <is>
          <t>Online-Shop</t>
        </is>
      </c>
      <c r="O8" s="122" t="inlineStr">
        <is>
          <t>Mittelmeergrillen</t>
        </is>
      </c>
      <c r="P8" s="122" t="inlineStr">
        <is>
          <t>Teilweise</t>
        </is>
      </c>
      <c r="Q8" s="122" t="inlineStr">
        <is>
          <t>unklar</t>
        </is>
      </c>
      <c r="R8" s="1" t="n"/>
      <c r="S8" s="1" t="n"/>
      <c r="T8" s="1" t="n"/>
      <c r="U8" s="1" t="n"/>
      <c r="V8" s="122" t="inlineStr">
        <is>
          <t>Fällig ab Faktor x Ø-Abstand</t>
        </is>
      </c>
      <c r="W8" s="124" t="n">
        <v>1</v>
      </c>
      <c r="X8" s="1" t="n"/>
      <c r="Y8" s="1" t="n"/>
      <c r="Z8" s="1" t="n"/>
    </row>
    <row r="9">
      <c r="A9" s="122" t="inlineStr">
        <is>
          <t>Brachypelma</t>
        </is>
      </c>
      <c r="B9" s="1" t="n"/>
      <c r="C9" s="1" t="n"/>
      <c r="D9" s="1" t="n"/>
      <c r="E9" s="1" t="n"/>
      <c r="F9" s="122" t="inlineStr">
        <is>
          <t>Adult</t>
        </is>
      </c>
      <c r="G9" s="1" t="n"/>
      <c r="H9" s="1" t="n"/>
      <c r="I9" s="122" t="inlineStr">
        <is>
          <t>Noch offen</t>
        </is>
      </c>
      <c r="J9" s="1" t="n"/>
      <c r="K9" s="1" t="n"/>
      <c r="L9" s="1" t="n"/>
      <c r="M9" s="1" t="n"/>
      <c r="N9" s="122" t="inlineStr">
        <is>
          <t>Zoofachhandel</t>
        </is>
      </c>
      <c r="O9" s="122" t="inlineStr">
        <is>
          <t>Argentinische Schaben</t>
        </is>
      </c>
      <c r="P9" s="1" t="n"/>
      <c r="Q9" s="1" t="n"/>
      <c r="R9" s="1" t="n"/>
      <c r="S9" s="1" t="n"/>
      <c r="T9" s="1" t="n"/>
      <c r="U9" s="1" t="n"/>
      <c r="V9" s="122" t="inlineStr">
        <is>
          <t>Warnung „Frisst nicht“ ab Tagen</t>
        </is>
      </c>
      <c r="W9" s="125" t="n">
        <v>60</v>
      </c>
      <c r="X9" s="1" t="n"/>
      <c r="Y9" s="1" t="n"/>
      <c r="Z9" s="1" t="n"/>
    </row>
    <row r="10">
      <c r="A10" s="122" t="inlineStr">
        <is>
          <t>Caribena</t>
        </is>
      </c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22" t="inlineStr">
        <is>
          <t>Eigene Nachzucht</t>
        </is>
      </c>
      <c r="O10" s="122" t="inlineStr">
        <is>
          <t>Turkestan-Schaben</t>
        </is>
      </c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</row>
    <row r="11">
      <c r="A11" s="122" t="inlineStr">
        <is>
          <t>Ceratogyrus</t>
        </is>
      </c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22" t="inlineStr">
        <is>
          <t>Übernahme</t>
        </is>
      </c>
      <c r="O11" s="122" t="inlineStr">
        <is>
          <t>Mehlwürmer</t>
        </is>
      </c>
      <c r="P11" s="1" t="n"/>
      <c r="Q11" s="1" t="n"/>
      <c r="R11" s="1" t="n"/>
      <c r="S11" s="1" t="n"/>
      <c r="T11" s="1" t="n"/>
      <c r="U11" s="1" t="n"/>
      <c r="V11" s="126" t="inlineStr">
        <is>
          <t>Die Prognose der nächsten Häutung nutzt den Schnitt der letzten 3 Abstände eines Tieres.</t>
        </is>
      </c>
      <c r="W11" s="1" t="n"/>
      <c r="X11" s="1" t="n"/>
      <c r="Y11" s="1" t="n"/>
      <c r="Z11" s="1" t="n"/>
    </row>
    <row r="12">
      <c r="A12" s="122" t="inlineStr">
        <is>
          <t>Chilobrachys</t>
        </is>
      </c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22" t="n"/>
      <c r="O12" s="122" t="inlineStr">
        <is>
          <t>Zophobas</t>
        </is>
      </c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</row>
    <row r="13">
      <c r="A13" s="122" t="inlineStr">
        <is>
          <t>Chromatopelma</t>
        </is>
      </c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22" t="n"/>
      <c r="O13" s="122" t="inlineStr">
        <is>
          <t>Wanderheuschrecken</t>
        </is>
      </c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</row>
    <row r="14">
      <c r="A14" s="122" t="inlineStr">
        <is>
          <t>Cyriocosmus</t>
        </is>
      </c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22" t="n"/>
      <c r="O14" s="122" t="inlineStr">
        <is>
          <t>Wachsmaden</t>
        </is>
      </c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</row>
    <row r="15">
      <c r="A15" s="122" t="inlineStr">
        <is>
          <t>Cyriopagopus</t>
        </is>
      </c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22" t="n"/>
      <c r="O15" s="122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</row>
    <row r="16">
      <c r="A16" s="122" t="inlineStr">
        <is>
          <t>Davus</t>
        </is>
      </c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22" t="n"/>
      <c r="O16" s="122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</row>
    <row r="17">
      <c r="A17" s="122" t="inlineStr">
        <is>
          <t>Ephebopus</t>
        </is>
      </c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22" t="n"/>
      <c r="O17" s="122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</row>
    <row r="18">
      <c r="A18" s="122" t="inlineStr">
        <is>
          <t>Euathlus</t>
        </is>
      </c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22" t="n"/>
      <c r="O18" s="122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</row>
    <row r="19">
      <c r="A19" s="122" t="inlineStr">
        <is>
          <t>Grammostola</t>
        </is>
      </c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22" t="n"/>
      <c r="O19" s="122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</row>
    <row r="20">
      <c r="A20" s="122" t="inlineStr">
        <is>
          <t>Hapalopus</t>
        </is>
      </c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22" t="n"/>
      <c r="O20" s="122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</row>
    <row r="21">
      <c r="A21" s="122" t="inlineStr">
        <is>
          <t>Harpactira</t>
        </is>
      </c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22" t="n"/>
      <c r="O21" s="122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</row>
    <row r="22">
      <c r="A22" s="122" t="inlineStr">
        <is>
          <t>Heteroscodra</t>
        </is>
      </c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22" t="n"/>
      <c r="O22" s="122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</row>
    <row r="23">
      <c r="A23" s="122" t="inlineStr">
        <is>
          <t>Homoeomma</t>
        </is>
      </c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22" t="n"/>
      <c r="O23" s="122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</row>
    <row r="24">
      <c r="A24" s="122" t="inlineStr">
        <is>
          <t>Lasiodora</t>
        </is>
      </c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22" t="n"/>
      <c r="O24" s="122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</row>
    <row r="25">
      <c r="A25" s="122" t="inlineStr">
        <is>
          <t>Monocentropus</t>
        </is>
      </c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22" t="n"/>
      <c r="O25" s="122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</row>
    <row r="26">
      <c r="A26" s="122" t="inlineStr">
        <is>
          <t>Neoholothele</t>
        </is>
      </c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22" t="n"/>
      <c r="O26" s="122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</row>
    <row r="27">
      <c r="A27" s="122" t="inlineStr">
        <is>
          <t>Nhandu</t>
        </is>
      </c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22" t="n"/>
      <c r="O27" s="122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</row>
    <row r="28">
      <c r="A28" s="122" t="inlineStr">
        <is>
          <t>Omothymus</t>
        </is>
      </c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22" t="n"/>
      <c r="O28" s="122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</row>
    <row r="29">
      <c r="A29" s="122" t="inlineStr">
        <is>
          <t>Pamphobeteus</t>
        </is>
      </c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22" t="n"/>
      <c r="O29" s="122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</row>
    <row r="30">
      <c r="A30" s="122" t="inlineStr">
        <is>
          <t>Phormictopus</t>
        </is>
      </c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22" t="n"/>
      <c r="O30" s="122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</row>
    <row r="31">
      <c r="A31" s="122" t="inlineStr">
        <is>
          <t>Poecilotheria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22" t="n"/>
      <c r="O31" s="122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</row>
    <row r="32">
      <c r="A32" s="122" t="inlineStr">
        <is>
          <t>Psalmopoeus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22" t="n"/>
      <c r="O32" s="122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</row>
    <row r="33">
      <c r="A33" s="122" t="inlineStr">
        <is>
          <t>Pterinochilus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22" t="n"/>
      <c r="O33" s="122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</row>
    <row r="34">
      <c r="A34" s="122" t="inlineStr">
        <is>
          <t>Theraphosa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22" t="n"/>
      <c r="O34" s="122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</row>
    <row r="35">
      <c r="A35" s="122" t="inlineStr">
        <is>
          <t>Thrixopelma</t>
        </is>
      </c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22" t="n"/>
      <c r="O35" s="122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</row>
    <row r="36">
      <c r="A36" s="122" t="inlineStr">
        <is>
          <t>Tliltocatl</t>
        </is>
      </c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</row>
    <row r="37">
      <c r="A37" s="122" t="inlineStr">
        <is>
          <t>Xenesthis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</row>
    <row r="38">
      <c r="A38" s="122" t="inlineStr">
        <is>
          <t>Ybyrapora</t>
        </is>
      </c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</row>
    <row r="39">
      <c r="A39" s="122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</row>
    <row r="40">
      <c r="A40" s="122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</row>
    <row r="41">
      <c r="A41" s="122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</row>
    <row r="42">
      <c r="A42" s="122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</row>
    <row r="43">
      <c r="A43" s="122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</row>
    <row r="44">
      <c r="A44" s="122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</row>
    <row r="45">
      <c r="A45" s="122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</row>
    <row r="46">
      <c r="A46" s="122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</row>
    <row r="47">
      <c r="A47" s="122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</row>
    <row r="48">
      <c r="A48" s="122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</row>
    <row r="49">
      <c r="A49" s="122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</row>
    <row r="50">
      <c r="A50" s="122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</row>
    <row r="51">
      <c r="A51" s="122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</row>
    <row r="52">
      <c r="A52" s="122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</row>
    <row r="53">
      <c r="A53" s="122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</row>
    <row r="54">
      <c r="A54" s="122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</row>
    <row r="55">
      <c r="A55" s="122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</row>
    <row r="56">
      <c r="A56" s="122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</row>
    <row r="57">
      <c r="A57" s="122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</row>
    <row r="58">
      <c r="A58" s="122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</row>
    <row r="59">
      <c r="A59" s="122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</row>
    <row r="60">
      <c r="A60" s="122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</row>
    <row r="61">
      <c r="A61" s="122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</row>
    <row r="62">
      <c r="A62" s="122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</row>
    <row r="63">
      <c r="A63" s="122" t="n"/>
      <c r="B63" s="1" t="n"/>
      <c r="C63" s="1" t="n"/>
      <c r="D63" s="1" t="n"/>
      <c r="E63" s="1" t="n"/>
      <c r="F63" s="1" t="n"/>
      <c r="G63" s="1" t="n"/>
      <c r="H63" s="1" t="n"/>
      <c r="I63" s="1" t="n"/>
      <c r="J63" s="1" t="n"/>
      <c r="K63" s="1" t="n"/>
      <c r="L63" s="1" t="n"/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</row>
    <row r="64">
      <c r="A64" s="122" t="n"/>
      <c r="B64" s="1" t="n"/>
      <c r="C64" s="1" t="n"/>
      <c r="D64" s="1" t="n"/>
      <c r="E64" s="1" t="n"/>
      <c r="F64" s="1" t="n"/>
      <c r="G64" s="1" t="n"/>
      <c r="H64" s="1" t="n"/>
      <c r="I64" s="1" t="n"/>
      <c r="J64" s="1" t="n"/>
      <c r="K64" s="1" t="n"/>
      <c r="L64" s="1" t="n"/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</row>
    <row r="65">
      <c r="A65" s="122" t="n"/>
      <c r="B65" s="1" t="n"/>
      <c r="C65" s="1" t="n"/>
      <c r="D65" s="1" t="n"/>
      <c r="E65" s="1" t="n"/>
      <c r="F65" s="1" t="n"/>
      <c r="G65" s="1" t="n"/>
      <c r="H65" s="1" t="n"/>
      <c r="I65" s="1" t="n"/>
      <c r="J65" s="1" t="n"/>
      <c r="K65" s="1" t="n"/>
      <c r="L65" s="1" t="n"/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</row>
    <row r="66">
      <c r="A66" s="122" t="n"/>
      <c r="B66" s="1" t="n"/>
      <c r="C66" s="1" t="n"/>
      <c r="D66" s="1" t="n"/>
      <c r="E66" s="1" t="n"/>
      <c r="F66" s="1" t="n"/>
      <c r="G66" s="1" t="n"/>
      <c r="H66" s="1" t="n"/>
      <c r="I66" s="1" t="n"/>
      <c r="J66" s="1" t="n"/>
      <c r="K66" s="1" t="n"/>
      <c r="L66" s="1" t="n"/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</row>
    <row r="67">
      <c r="A67" s="122" t="n"/>
      <c r="B67" s="1" t="n"/>
      <c r="C67" s="1" t="n"/>
      <c r="D67" s="1" t="n"/>
      <c r="E67" s="1" t="n"/>
      <c r="F67" s="1" t="n"/>
      <c r="G67" s="1" t="n"/>
      <c r="H67" s="1" t="n"/>
      <c r="I67" s="1" t="n"/>
      <c r="J67" s="1" t="n"/>
      <c r="K67" s="1" t="n"/>
      <c r="L67" s="1" t="n"/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</row>
    <row r="68">
      <c r="A68" s="122" t="n"/>
      <c r="B68" s="1" t="n"/>
      <c r="C68" s="1" t="n"/>
      <c r="D68" s="1" t="n"/>
      <c r="E68" s="1" t="n"/>
      <c r="F68" s="1" t="n"/>
      <c r="G68" s="1" t="n"/>
      <c r="H68" s="1" t="n"/>
      <c r="I68" s="1" t="n"/>
      <c r="J68" s="1" t="n"/>
      <c r="K68" s="1" t="n"/>
      <c r="L68" s="1" t="n"/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</row>
    <row r="69">
      <c r="A69" s="122" t="n"/>
      <c r="B69" s="1" t="n"/>
      <c r="C69" s="1" t="n"/>
      <c r="D69" s="1" t="n"/>
      <c r="E69" s="1" t="n"/>
      <c r="F69" s="1" t="n"/>
      <c r="G69" s="1" t="n"/>
      <c r="H69" s="1" t="n"/>
      <c r="I69" s="1" t="n"/>
      <c r="J69" s="1" t="n"/>
      <c r="K69" s="1" t="n"/>
      <c r="L69" s="1" t="n"/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</row>
    <row r="70">
      <c r="A70" s="122" t="n"/>
      <c r="B70" s="1" t="n"/>
      <c r="C70" s="1" t="n"/>
      <c r="D70" s="1" t="n"/>
      <c r="E70" s="1" t="n"/>
      <c r="F70" s="1" t="n"/>
      <c r="G70" s="1" t="n"/>
      <c r="H70" s="1" t="n"/>
      <c r="I70" s="1" t="n"/>
      <c r="J70" s="1" t="n"/>
      <c r="K70" s="1" t="n"/>
      <c r="L70" s="1" t="n"/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</row>
    <row r="71">
      <c r="A71" s="122" t="n"/>
      <c r="B71" s="1" t="n"/>
      <c r="C71" s="1" t="n"/>
      <c r="D71" s="1" t="n"/>
      <c r="E71" s="1" t="n"/>
      <c r="F71" s="1" t="n"/>
      <c r="G71" s="1" t="n"/>
      <c r="H71" s="1" t="n"/>
      <c r="I71" s="1" t="n"/>
      <c r="J71" s="1" t="n"/>
      <c r="K71" s="1" t="n"/>
      <c r="L71" s="1" t="n"/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</row>
    <row r="72">
      <c r="A72" s="122" t="n"/>
      <c r="B72" s="1" t="n"/>
      <c r="C72" s="1" t="n"/>
      <c r="D72" s="1" t="n"/>
      <c r="E72" s="1" t="n"/>
      <c r="F72" s="1" t="n"/>
      <c r="G72" s="1" t="n"/>
      <c r="H72" s="1" t="n"/>
      <c r="I72" s="1" t="n"/>
      <c r="J72" s="1" t="n"/>
      <c r="K72" s="1" t="n"/>
      <c r="L72" s="1" t="n"/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</row>
    <row r="73">
      <c r="A73" s="122" t="n"/>
      <c r="B73" s="1" t="n"/>
      <c r="C73" s="1" t="n"/>
      <c r="D73" s="1" t="n"/>
      <c r="E73" s="1" t="n"/>
      <c r="F73" s="1" t="n"/>
      <c r="G73" s="1" t="n"/>
      <c r="H73" s="1" t="n"/>
      <c r="I73" s="1" t="n"/>
      <c r="J73" s="1" t="n"/>
      <c r="K73" s="1" t="n"/>
      <c r="L73" s="1" t="n"/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</row>
    <row r="74">
      <c r="A74" s="122" t="n"/>
      <c r="B74" s="1" t="n"/>
      <c r="C74" s="1" t="n"/>
      <c r="D74" s="1" t="n"/>
      <c r="E74" s="1" t="n"/>
      <c r="F74" s="1" t="n"/>
      <c r="G74" s="1" t="n"/>
      <c r="H74" s="1" t="n"/>
      <c r="I74" s="1" t="n"/>
      <c r="J74" s="1" t="n"/>
      <c r="K74" s="1" t="n"/>
      <c r="L74" s="1" t="n"/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</row>
    <row r="75">
      <c r="A75" s="122" t="n"/>
      <c r="B75" s="1" t="n"/>
      <c r="C75" s="1" t="n"/>
      <c r="D75" s="1" t="n"/>
      <c r="E75" s="1" t="n"/>
      <c r="F75" s="1" t="n"/>
      <c r="G75" s="1" t="n"/>
      <c r="H75" s="1" t="n"/>
      <c r="I75" s="1" t="n"/>
      <c r="J75" s="1" t="n"/>
      <c r="K75" s="1" t="n"/>
      <c r="L75" s="1" t="n"/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</row>
    <row r="76">
      <c r="A76" s="122" t="n"/>
      <c r="B76" s="1" t="n"/>
      <c r="C76" s="1" t="n"/>
      <c r="D76" s="1" t="n"/>
      <c r="E76" s="1" t="n"/>
      <c r="F76" s="1" t="n"/>
      <c r="G76" s="1" t="n"/>
      <c r="H76" s="1" t="n"/>
      <c r="I76" s="1" t="n"/>
      <c r="J76" s="1" t="n"/>
      <c r="K76" s="1" t="n"/>
      <c r="L76" s="1" t="n"/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</row>
    <row r="77">
      <c r="A77" s="122" t="n"/>
      <c r="B77" s="1" t="n"/>
      <c r="C77" s="1" t="n"/>
      <c r="D77" s="1" t="n"/>
      <c r="E77" s="1" t="n"/>
      <c r="F77" s="1" t="n"/>
      <c r="G77" s="1" t="n"/>
      <c r="H77" s="1" t="n"/>
      <c r="I77" s="1" t="n"/>
      <c r="J77" s="1" t="n"/>
      <c r="K77" s="1" t="n"/>
      <c r="L77" s="1" t="n"/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</row>
    <row r="78">
      <c r="A78" s="122" t="n"/>
      <c r="B78" s="1" t="n"/>
      <c r="C78" s="1" t="n"/>
      <c r="D78" s="1" t="n"/>
      <c r="E78" s="1" t="n"/>
      <c r="F78" s="1" t="n"/>
      <c r="G78" s="1" t="n"/>
      <c r="H78" s="1" t="n"/>
      <c r="I78" s="1" t="n"/>
      <c r="J78" s="1" t="n"/>
      <c r="K78" s="1" t="n"/>
      <c r="L78" s="1" t="n"/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</row>
    <row r="79">
      <c r="A79" s="122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</row>
    <row r="80">
      <c r="A80" s="122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</row>
    <row r="81">
      <c r="A81" s="122" t="n"/>
      <c r="B81" s="1" t="n"/>
      <c r="C81" s="1" t="n"/>
      <c r="D81" s="1" t="n"/>
      <c r="E81" s="1" t="n"/>
      <c r="F81" s="1" t="n"/>
      <c r="G81" s="1" t="n"/>
      <c r="H81" s="1" t="n"/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</row>
    <row r="82">
      <c r="A82" s="122" t="n"/>
      <c r="B82" s="1" t="n"/>
      <c r="C82" s="1" t="n"/>
      <c r="D82" s="1" t="n"/>
      <c r="E82" s="1" t="n"/>
      <c r="F82" s="1" t="n"/>
      <c r="G82" s="1" t="n"/>
      <c r="H82" s="1" t="n"/>
      <c r="I82" s="1" t="n"/>
      <c r="J82" s="1" t="n"/>
      <c r="K82" s="1" t="n"/>
      <c r="L82" s="1" t="n"/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</row>
    <row r="83">
      <c r="A83" s="122" t="n"/>
      <c r="B83" s="1" t="n"/>
      <c r="C83" s="1" t="n"/>
      <c r="D83" s="1" t="n"/>
      <c r="E83" s="1" t="n"/>
      <c r="F83" s="1" t="n"/>
      <c r="G83" s="1" t="n"/>
      <c r="H83" s="1" t="n"/>
      <c r="I83" s="1" t="n"/>
      <c r="J83" s="1" t="n"/>
      <c r="K83" s="1" t="n"/>
      <c r="L83" s="1" t="n"/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</row>
    <row r="84">
      <c r="A84" s="122" t="n"/>
      <c r="B84" s="1" t="n"/>
      <c r="C84" s="1" t="n"/>
      <c r="D84" s="1" t="n"/>
      <c r="E84" s="1" t="n"/>
      <c r="F84" s="1" t="n"/>
      <c r="G84" s="1" t="n"/>
      <c r="H84" s="1" t="n"/>
      <c r="I84" s="1" t="n"/>
      <c r="J84" s="1" t="n"/>
      <c r="K84" s="1" t="n"/>
      <c r="L84" s="1" t="n"/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</row>
    <row r="85">
      <c r="A85" s="122" t="n"/>
      <c r="B85" s="1" t="n"/>
      <c r="C85" s="1" t="n"/>
      <c r="D85" s="1" t="n"/>
      <c r="E85" s="1" t="n"/>
      <c r="F85" s="1" t="n"/>
      <c r="G85" s="1" t="n"/>
      <c r="H85" s="1" t="n"/>
      <c r="I85" s="1" t="n"/>
      <c r="J85" s="1" t="n"/>
      <c r="K85" s="1" t="n"/>
      <c r="L85" s="1" t="n"/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  <c r="J86" s="1" t="n"/>
      <c r="K86" s="1" t="n"/>
      <c r="L86" s="1" t="n"/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</row>
  </sheetData>
  <hyperlinks>
    <hyperlink xmlns:r="http://schemas.openxmlformats.org/officeDocument/2006/relationships" ref="W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2026-10-04T06:43:11Z</dcterms:created>
  <dcterms:modified xmlns:dcterms="http://purl.org/dc/terms/" xmlns:xsi="http://www.w3.org/2001/XMLSchema-instance" xsi:type="dcterms:W3CDTF">2026-10-04T06:43:15Z</dcterms:modified>
</cp:coreProperties>
</file>